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ВР (2)\"/>
    </mc:Choice>
  </mc:AlternateContent>
  <bookViews>
    <workbookView xWindow="0" yWindow="0" windowWidth="28800" windowHeight="11940" tabRatio="895" activeTab="1"/>
  </bookViews>
  <sheets>
    <sheet name="ПРОТОКОЛ" sheetId="41" r:id="rId1"/>
    <sheet name="РН(М)Ц" sheetId="54" r:id="rId2"/>
    <sheet name="Обследование №1" sheetId="78" r:id="rId3"/>
    <sheet name="Проект+РД № 1" sheetId="79" r:id="rId4"/>
    <sheet name="обследование научно-иссл.№2" sheetId="61" r:id="rId5"/>
    <sheet name="Проект+РД №2" sheetId="71" r:id="rId6"/>
  </sheets>
  <definedNames>
    <definedName name="_xlnm.Print_Area" localSheetId="2">'Обследование №1'!$A$1:$G$32</definedName>
    <definedName name="_xlnm.Print_Area" localSheetId="4">'обследование научно-иссл.№2'!$A$3:$G$25</definedName>
    <definedName name="_xlnm.Print_Area" localSheetId="3">'Проект+РД № 1'!$A$4:$F$28</definedName>
    <definedName name="_xlnm.Print_Area" localSheetId="5">'Проект+РД №2'!$A$1:$F$28</definedName>
    <definedName name="_xlnm.Print_Area" localSheetId="0">ПРОТОКОЛ!$A$1:$M$29</definedName>
    <definedName name="_xlnm.Print_Area" localSheetId="1">'РН(М)Ц'!$A$1:$D$44</definedName>
  </definedNames>
  <calcPr calcId="152511"/>
</workbook>
</file>

<file path=xl/calcChain.xml><?xml version="1.0" encoding="utf-8"?>
<calcChain xmlns="http://schemas.openxmlformats.org/spreadsheetml/2006/main">
  <c r="F18" i="79" l="1"/>
  <c r="G10" i="78"/>
  <c r="G9" i="78"/>
  <c r="F9" i="79" l="1"/>
  <c r="G18" i="79"/>
  <c r="F19" i="79"/>
  <c r="F11" i="79"/>
  <c r="F10" i="79"/>
  <c r="G9" i="79"/>
  <c r="G18" i="78"/>
  <c r="G17" i="78"/>
  <c r="G15" i="78"/>
  <c r="G14" i="78"/>
  <c r="G13" i="78"/>
  <c r="G12" i="78"/>
  <c r="G20" i="78"/>
  <c r="G19" i="78"/>
  <c r="G16" i="78"/>
  <c r="G11" i="78"/>
  <c r="F20" i="79" l="1"/>
  <c r="F21" i="79" s="1"/>
  <c r="F13" i="79"/>
  <c r="G21" i="78"/>
  <c r="F14" i="79" l="1"/>
  <c r="B15" i="54"/>
  <c r="B13" i="54"/>
  <c r="G22" i="78"/>
  <c r="G23" i="78" s="1"/>
  <c r="G24" i="78" s="1"/>
  <c r="F22" i="79"/>
  <c r="F15" i="79" l="1"/>
  <c r="F16" i="79" s="1"/>
  <c r="B14" i="54"/>
  <c r="F18" i="71"/>
  <c r="G18" i="71"/>
  <c r="F19" i="71"/>
  <c r="F9" i="71"/>
  <c r="G9" i="71"/>
  <c r="F11" i="71"/>
  <c r="F10" i="71"/>
  <c r="F20" i="71" l="1"/>
  <c r="F22" i="71" s="1"/>
  <c r="B23" i="54"/>
  <c r="C15" i="54" l="1"/>
  <c r="D15" i="54" s="1"/>
  <c r="C14" i="54"/>
  <c r="D14" i="54" s="1"/>
  <c r="C13" i="54"/>
  <c r="D13" i="54" s="1"/>
  <c r="G12" i="61"/>
  <c r="G11" i="61"/>
  <c r="B12" i="54" l="1"/>
  <c r="B16" i="54" s="1"/>
  <c r="B17" i="54" s="1"/>
  <c r="C17" i="54" s="1"/>
  <c r="D17" i="54" s="1"/>
  <c r="G13" i="61"/>
  <c r="G10" i="61"/>
  <c r="G9" i="61"/>
  <c r="C12" i="54" l="1"/>
  <c r="D12" i="54" s="1"/>
  <c r="B18" i="54" l="1"/>
  <c r="C16" i="54"/>
  <c r="C18" i="54" l="1"/>
  <c r="D18" i="54" s="1"/>
  <c r="D16" i="54"/>
  <c r="C23" i="54" l="1"/>
  <c r="D23" i="54" s="1"/>
  <c r="G14" i="61" l="1"/>
  <c r="G15" i="61" s="1"/>
  <c r="F13" i="71" l="1"/>
  <c r="F14" i="71" l="1"/>
  <c r="B22" i="54" s="1"/>
  <c r="B20" i="54" s="1"/>
  <c r="F16" i="71" l="1"/>
  <c r="C22" i="54"/>
  <c r="D22" i="54" s="1"/>
  <c r="B21" i="54" l="1"/>
  <c r="B24" i="54" s="1"/>
  <c r="C21" i="54" l="1"/>
  <c r="D21" i="54" s="1"/>
  <c r="B26" i="54"/>
  <c r="C20" i="54"/>
  <c r="D20" i="54" s="1"/>
  <c r="C24" i="54" l="1"/>
  <c r="C26" i="54" l="1"/>
  <c r="D24" i="54"/>
  <c r="D26" i="54" s="1"/>
  <c r="D27" i="54" s="1"/>
</calcChain>
</file>

<file path=xl/sharedStrings.xml><?xml version="1.0" encoding="utf-8"?>
<sst xmlns="http://schemas.openxmlformats.org/spreadsheetml/2006/main" count="229" uniqueCount="156">
  <si>
    <t>Вид, стадия работ</t>
  </si>
  <si>
    <t>Обоснование стоимости работ</t>
  </si>
  <si>
    <t>Стоимость, руб.</t>
  </si>
  <si>
    <t>Итого:</t>
  </si>
  <si>
    <t>№ п/п</t>
  </si>
  <si>
    <t>2</t>
  </si>
  <si>
    <t>3</t>
  </si>
  <si>
    <t>4</t>
  </si>
  <si>
    <t>1</t>
  </si>
  <si>
    <t>Основание для расчета:</t>
  </si>
  <si>
    <t>Всего:</t>
  </si>
  <si>
    <t>Начальная (максимальная) цена с учетом продолжительности проектных работ определяется как произведение стоимости работ в текущем уровне цен на дату формирования на коэффициент инфляции, учитывающий продолжительность проектных работ.</t>
  </si>
  <si>
    <t>Расчет прогнозного коэффициента инфляции, учитывающего продолжительность проектных работ:
К инфл. учета продолжит. проектиров. – прогнозный коэффициент инфляции на период проектирования, который определяется делением значения коэффициента инфляции стоимости пред проектных, проектных и других работ (далее коэффициент инфляции) соответствующего периода окончания работ на значение коэффициента инфляции соответствующего периода начала работ. Значение полученного числа после запятой делится пополам и эта величина прибавляется к единице.</t>
  </si>
  <si>
    <t>Приложения:</t>
  </si>
  <si>
    <t>Расчет стоимости</t>
  </si>
  <si>
    <t xml:space="preserve">Кпер.=2,745 (Письмо ДПР/9-4136 от 23.03.2009)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</si>
  <si>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</t>
  </si>
  <si>
    <t>Фотофиксация</t>
  </si>
  <si>
    <t>Размножение и брошюровка технического заключения</t>
  </si>
  <si>
    <t>Проверил________________________________  Волженский В.С.</t>
  </si>
  <si>
    <t>1. Техническое задание</t>
  </si>
  <si>
    <t xml:space="preserve">             </t>
  </si>
  <si>
    <t xml:space="preserve">             тыс. руб.</t>
  </si>
  <si>
    <t xml:space="preserve">Наименование работ </t>
  </si>
  <si>
    <t>Начальная (максимальная) цена контракта с учетом прогнозного индекса инфляции на период проектирования</t>
  </si>
  <si>
    <t xml:space="preserve">        Объект закупки (лот):</t>
  </si>
  <si>
    <t>Департамент культуры города Москвы  Заместитель руководителя -
руководитель контрактной службы</t>
  </si>
  <si>
    <t>Р.С.Богомолец</t>
  </si>
  <si>
    <t>3,603/3,586=1,0047</t>
  </si>
  <si>
    <t>0,0047/2+1=1,0181</t>
  </si>
  <si>
    <t>Прогнозный индекс инфляции на период проектирования 2017г.
К=1,0000</t>
  </si>
  <si>
    <t>Итого по разделу  №1 в ценах на 01.01.2000г.</t>
  </si>
  <si>
    <t>Ед. изм.</t>
  </si>
  <si>
    <t>Коли- чество</t>
  </si>
  <si>
    <t>НДС  не облагается</t>
  </si>
  <si>
    <t>Составил ______________________________Варина Т.Б.</t>
  </si>
  <si>
    <t>Проверил______________________________Волженский В.С.</t>
  </si>
  <si>
    <t xml:space="preserve">Стоимость работ в текущих  ценах  на момент формирования начальной (максимальной) цены контракта "квартал" 2 "год" 2017           </t>
  </si>
  <si>
    <t>Заказчик:</t>
  </si>
  <si>
    <t>Директор</t>
  </si>
  <si>
    <t>ПРОТОКОЛ 
СОГЛАСОВАНИЯ НАЧАЛЬНОЙ (МАКСИМАЛЬНОЙ) ЦЕНЫ  
 КОНТРАКТА</t>
  </si>
  <si>
    <t>РАСЧЕТ НАЧАЛЬНОЙ (МАКСИМАЛЬНОЙ) ЦЕНЫ  КОНТРАКТА</t>
  </si>
  <si>
    <t>Стоимость услуг по исполнению функций технического заказчика</t>
  </si>
  <si>
    <t>1.Расчет начальной (максимальной) цены  контракта</t>
  </si>
  <si>
    <t xml:space="preserve">       Начальная (максимальная) цена контракта включает в себя расходы на перевозку, страхование, уплату таможенных пошлин, налогов и других обязательных платежей.</t>
  </si>
  <si>
    <t>Количество</t>
  </si>
  <si>
    <t>Проектная документация</t>
  </si>
  <si>
    <t>Санитарная очистка территории</t>
  </si>
  <si>
    <t xml:space="preserve">МРР-6.1-16                                                                                      1)Расчет объемов, описание условий хранения, утилизации и переработки строительных
отходов                                                                           Цб2000=1860 руб. (табл. 23 п.4)                        2)Определение мест временного хранения отходов, составление карты-схемы                                                            Цб2000=1648руб. (табл.23.п.5)                             3)Порядок обращения с отходами разных классов, действия в аварийных ситуациях                                                    Цб2000=439руб.(табл.23.п.7)                                         </t>
  </si>
  <si>
    <t>(1860+1648+439)</t>
  </si>
  <si>
    <t>Выводы и рекомендации,Техническое оформление, выпуск документации</t>
  </si>
  <si>
    <t>Итого по разделу №1 в ценах на 01.01.2000г.</t>
  </si>
  <si>
    <t>НДС 18%</t>
  </si>
  <si>
    <t>Всего по объекту:</t>
  </si>
  <si>
    <t>Составил ________________________________ Варина Т.Б.</t>
  </si>
  <si>
    <t xml:space="preserve">         </t>
  </si>
  <si>
    <t>Проектные работы</t>
  </si>
  <si>
    <t>Рабочая документация</t>
  </si>
  <si>
    <t>Начало работ: с даты заключения  контракта</t>
  </si>
  <si>
    <t xml:space="preserve">Итого по разделу №1 в  ценах на 2 квартал 2017 г. Кпер.=3,596  (Приложение  к приказу Москомэкспертизы  от 30.12.2016 №МКЭ-ОД/16-80) </t>
  </si>
  <si>
    <t xml:space="preserve">Архитектурно-археологические обмеры отдельных частей памятника: фасады,интерьеры развертки стен;отдельные архитектурные детали; планы; шаблоны                              </t>
  </si>
  <si>
    <t xml:space="preserve">МРР-8.4-16                                                                          табл. 4.3.3 п. 1,3,4,5                                                   к1=1,15 (т.4.3.10, п.8)                                                                        </t>
  </si>
  <si>
    <t>Лист А-1,                                   масштаб 1:50,1:10, 1:1</t>
  </si>
  <si>
    <t>(5699+3623+1219+2295)*1,15</t>
  </si>
  <si>
    <t>памятник</t>
  </si>
  <si>
    <t>Обмеры конструкций памятника: общий вид, детали, шаблоны</t>
  </si>
  <si>
    <t xml:space="preserve">МРР-8.4-16                                                                           табл. 4.3.5 п.1,2,3,4 (II кат.сл.)                                       к1=1,2 (т.4.3.10, п.5)                                                  </t>
  </si>
  <si>
    <t>(1712+1422+1164+554)*1,2</t>
  </si>
  <si>
    <t>Инженерно-конструкторские исследования памятника</t>
  </si>
  <si>
    <r>
      <t xml:space="preserve">МРР-8.4-16                           
 Кат. сложности -II                                                                         табл. 4.3.6 п.3-4                                                    </t>
    </r>
    <r>
      <rPr>
        <sz val="8"/>
        <rFont val="Times New Roman"/>
        <family val="1"/>
        <charset val="204"/>
      </rPr>
      <t xml:space="preserve">     </t>
    </r>
    <r>
      <rPr>
        <sz val="9"/>
        <rFont val="Times New Roman"/>
        <family val="1"/>
        <charset val="204"/>
      </rPr>
      <t xml:space="preserve">                          </t>
    </r>
    <r>
      <rPr>
        <sz val="14"/>
        <rFont val="Times New Roman"/>
        <family val="1"/>
        <charset val="204"/>
      </rPr>
      <t xml:space="preserve">                                                     </t>
    </r>
    <r>
      <rPr>
        <sz val="9"/>
        <rFont val="Times New Roman"/>
        <family val="1"/>
        <charset val="204"/>
      </rPr>
      <t xml:space="preserve">                                                            </t>
    </r>
  </si>
  <si>
    <t>Комплексные технологические исследования по строительным материалам памятника (камень, дерево, металл и др.)</t>
  </si>
  <si>
    <r>
      <t xml:space="preserve">МРР-8.4-16                                                                        табл. 4.3.8 п.3-4 ( II кат.сл.)                                                             </t>
    </r>
    <r>
      <rPr>
        <sz val="8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</si>
  <si>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t xml:space="preserve">МРР-8.4-16                                                                          табл. 4.4.1 п.1                                                                      к=1,15 (табл. 4.4.2 п.1)   </t>
  </si>
  <si>
    <t>негатив, отпечаток</t>
  </si>
  <si>
    <t>Научно-исследовательские и обмерные работы</t>
  </si>
  <si>
    <t>Раздел №1.  Научно-исследовательские работы (площадь - 469,9 м2, строительный объем - 1 504,84 м3)</t>
  </si>
  <si>
    <t xml:space="preserve">((7780+((1504,84-1000)/(3000-1000))*(9097-7780/1)) </t>
  </si>
  <si>
    <t xml:space="preserve">((12397+((1504,84-1000)/(3000-1000))*(13385-12397/1)) </t>
  </si>
  <si>
    <t>НДС 18%  не облагается**Налоговый кодекс РФ, статья 149 п.2 п.п.15</t>
  </si>
  <si>
    <t xml:space="preserve">НДС 18%  </t>
  </si>
  <si>
    <t>1.  ГБУК г.Москвы "Галерея А.Шилова"  Знаменка 3.</t>
  </si>
  <si>
    <t>2.  ГБУК г.Москвы "Галерея А.Шилова"Знаменка д.5; д.7. стр.1</t>
  </si>
  <si>
    <t>Общая  площадь  здания - 469,9  кв.м.  строительный объем - 1 504,84 м3</t>
  </si>
  <si>
    <t>Основные проектные работы- 
(АР, КР, Вентиляция, АВТ, Кондц., ПОС, Сметы,Энергоэффективность) - пл. 
469,9 м2</t>
  </si>
  <si>
    <t>3947*0,0097=38,29
3947+38,29=3985,29
(3985,29 *0,0111+3985,29*0,0257*4)</t>
  </si>
  <si>
    <t xml:space="preserve">МРР-6.1-16                                                                       К=0,97% (табл.26 п.1) - выводы и рекомендации                                                                                                          К=1,11% (табл.27 п.1) - техническое оформление                                                      К=2,57% (табл.27 п.2) - выпуск проектной документации                                                                                                       </t>
  </si>
  <si>
    <t xml:space="preserve">МРР-4.1-16
а =27,0 тыс. руб. (табл. 3.5.1. п. 3)                                                                                                в =1,604 тыс. руб.м2 (табл. 3.5.1., п. 3) 
К1= (24,6*0,01+26,7*0,01+5,7/2+2,1+3,0+5,6)/100=0,14
К2=0,14*0,061=0,01
К3=0,14+0,01=0,15 капитальный ремонт   
Приложение №1 табл.1.4 п.2
К4=1,45 табл.4.2.1 п.2
К=0,4 стадия "Проект"
</t>
  </si>
  <si>
    <t>(27,0+1,604*469,9)*0,15*1,45*0,4</t>
  </si>
  <si>
    <t xml:space="preserve">МРР-4.1-16
а =27,0 тыс. руб. (табл. 3.5.1. п. 3)                                                                                                в =1,604 тыс. руб.м2 (табл. 3.5.1., п. 3) 
К1= (25,0*0,01+31,4*0,01+7,1/2+3,2+3,5+1,2)/100=0,12
капитальный ремонт   
Приложение №1 табл.1.4 п.2
К4=1,45 табл.4.2.1 п.2
К=0,6 стадия "Проект"
</t>
  </si>
  <si>
    <t>(27,0+1,604*469,9)*0,12*1,45*0,6</t>
  </si>
  <si>
    <t>м3</t>
  </si>
  <si>
    <t>Обследование перекрытий металлоискателем с изготовлением чертежей</t>
  </si>
  <si>
    <t>Т 2.2, п.3(д)                                                                     Т4.7. п.5
К=1,8 табл.2.2 п.5в</t>
  </si>
  <si>
    <t>100м2</t>
  </si>
  <si>
    <t>94,46* 1,1*1,2*1,8</t>
  </si>
  <si>
    <t>Определение прочности бетона,кирпича и раствора ударно-импульсивным методом (молотком Шмидта)</t>
  </si>
  <si>
    <t>Т 2.2, п.3(д)                                                               Т4.7,п.3
К=1,8 табл.2.2 п.5в</t>
  </si>
  <si>
    <t>одно место</t>
  </si>
  <si>
    <t>Определение прочности бетона ультразвуковым методом</t>
  </si>
  <si>
    <t xml:space="preserve"> Т 2.2, п.3(д), Т4.7,п.1
К=1,8 табл.2.2 п.5в</t>
  </si>
  <si>
    <t>Определение прочности бетона на сжатие</t>
  </si>
  <si>
    <t>Т 2.2, п.3(д) 
Т.4.8 п.1
К=1,8 табл.2.2 п.5в</t>
  </si>
  <si>
    <t>один образец</t>
  </si>
  <si>
    <t>Определение прочности раствора на сжатие</t>
  </si>
  <si>
    <t>Т 2.2, п.3(д) 
Т.4.8 п.2
К=1,8 табл.2.2 п.5в</t>
  </si>
  <si>
    <t>Отбивка штукатурки для обследования деревянных, каменных, металлических и железобетонных конструкций</t>
  </si>
  <si>
    <t>Т 2.2, п.3(д) 
Т.4.8 п.10(г)
К=1,8 табл.2.2 п.5д</t>
  </si>
  <si>
    <t>одно вскрытие</t>
  </si>
  <si>
    <t>360,69 *1,1*1,2*1,8</t>
  </si>
  <si>
    <t>Отбор образцов</t>
  </si>
  <si>
    <t xml:space="preserve">Т 2.2, п.3(д) 
Т.4,7 п.9
К=1,8 табл.2.2 п.5д  </t>
  </si>
  <si>
    <t>1 партия</t>
  </si>
  <si>
    <t xml:space="preserve">Т 2.2, п.3(д)   
Т4.8,п.11
К=1,8 табл.2.2 п.5в  </t>
  </si>
  <si>
    <t>один снимок</t>
  </si>
  <si>
    <t>Т 2.2, п.3(д)                                                                     Т4.8,п 10</t>
  </si>
  <si>
    <t>один экземпляр</t>
  </si>
  <si>
    <t xml:space="preserve">251,80* 1,1                               </t>
  </si>
  <si>
    <t>Составление отчетных материалов</t>
  </si>
  <si>
    <t>Т.5.4 п.5</t>
  </si>
  <si>
    <t>заключение</t>
  </si>
  <si>
    <t>НДС  18%</t>
  </si>
  <si>
    <t>Раздел №1. Обследование строительных конструкций  (площадь - 694,7м2, строительный объем - 2940,872м3)</t>
  </si>
  <si>
    <t>Обмерно - обследовательские работы                                                                   V=2940,9 м3    Н=  до 6,0  м</t>
  </si>
  <si>
    <t>Инженерно-конструкторские                     работы, V=2940,9 м3   Н= до 6,0 м</t>
  </si>
  <si>
    <t>72,45* 1,1*1,8</t>
  </si>
  <si>
    <t xml:space="preserve">96,08* 1,1 *1,8                         </t>
  </si>
  <si>
    <t>110,88*1,1*1,8</t>
  </si>
  <si>
    <t>145,09*1,1*1,8</t>
  </si>
  <si>
    <t>89,44*1,1*1,8</t>
  </si>
  <si>
    <t xml:space="preserve">143,24*1,1*1,8                              </t>
  </si>
  <si>
    <t>Общая  площадь  здания - 694,7  кв.м.  строительный объем - 2940,872 м3</t>
  </si>
  <si>
    <t>Основные проектные работы- 
(АР, КР, Вентиляция, АВТ, Кондц., ПОС, Сметы,Энергоэффективность) - пл. 
694,7 м2</t>
  </si>
  <si>
    <t xml:space="preserve">МРР-4.1-16
а =69,0 тыс. руб. (табл. 3.5.1. п. 3)                                                                                                в =1,520 тыс. руб.м2 (табл. 3.5.1., п. 3) 
К1= (24,6*0,01+26,7*0,01+5,7/2+2,1+3,0+5,6)/100=0,14
К2=0,14*0,061=0,01
К3=0,14+0,01=0,15 капитальный ремонт   
Приложение №1 табл.1.4 п.2
К=0,4 стадия "Проект"
</t>
  </si>
  <si>
    <t>(69,0+1,520*694,7)*0,15*0,4</t>
  </si>
  <si>
    <t>Итого п.п.1.2</t>
  </si>
  <si>
    <t xml:space="preserve">МРР-3.6-16
Кат. здания-II,  кат. работ-II,
К=0,939 табл.4.1  п.2-9                                                                                                                                    К=1,1табл. 2.2, п.3(д)
К=1,8 табл.2.2 п.5в
К=1,15  прим. к таб.4.3 п.2                                                 Т.4.3
</t>
  </si>
  <si>
    <t>310,99*0,939*1,1*1,8*1,15</t>
  </si>
  <si>
    <t xml:space="preserve">Кат. здания-II,  кат. работ-II,
К=0,874 табл.4.4  п.3-7                                                                                                                                    К=1,1табл. 2.2, п.3(д)
К=1,8 табл.2.2 п.5в                                                 Т.4.6
</t>
  </si>
  <si>
    <t xml:space="preserve">396,67*0,874*1,1 *1,8                        </t>
  </si>
  <si>
    <t xml:space="preserve">МРР-4.1-16
а =69,0 тыс. руб. (табл. 3.5.1. п. 3)                                                                                                в =1,520 тыс. руб.м2 (табл. 3.5.1., п. 3) 
К1= (25,0*0,01+31,4*0,01+7,1/2+3,2+3,5+1,2)/100=0,12
капитальный ремонт   
Приложение №1 табл.1.4 п.2
К=0,6 стадия "Проект"
</t>
  </si>
  <si>
    <t>(69,0+1,520*694,7)*0,12*0,6</t>
  </si>
  <si>
    <t>Основные проектные работы- 
(АР, КР, Вентиляция, АВТ, Кондц., ПОС, Энергоэффективность) - пл. 
469,9 м2</t>
  </si>
  <si>
    <t>Основные проектные работы- 
(АР, КР, Вентиляция, АВТ, Кондц., ПОС, Энергоэффективность) - пл. 
694,7 м2</t>
  </si>
  <si>
    <t>разработка проектной документации на частичный капитальный ремонт системы вентиляции и кондиционирования государственного бюджетного учреждения культуры города Москвы "Галерея А.Шилова", расположенного по адресу: г. Москва, улица Знаменка, д. 3, д. 5, д. 7 стр. 1</t>
  </si>
  <si>
    <t>на разработку проектной документации на частичный капитальный ремонт системы вентиляции и кондиционирования государственного бюджетного учреждения культуры города Москвы "Галерея А.Шилова", расположенного по адресу: г. Москва, улица Знаменка, д. 3, д. 5, д. 7 стр. 1</t>
  </si>
  <si>
    <t>ГБУК г. Москвы "Галерея А.Шилова"</t>
  </si>
  <si>
    <t>А.И.Григорьева</t>
  </si>
  <si>
    <t>Расчет стоимости на разработку проектной документации на частичный капитальный ремонт системы вентиляции и кондиционирования государственного бюджетного учреждения культуры города Москвы "Галерея А.Шилова", расположенного по адресу: г. Москва, улица Знаменка, д. 3</t>
  </si>
  <si>
    <t>Расчет  стоимости на разработку проектной документации на частичный капитальный ремонт системы вентиляции и кондиционирования государственного бюджетного учреждения культуры города Москвы "Галерея А.Шилова", расположенного по адресу: г. Москва, улица Знаменка, д. 5,  д. 7 стр. 1</t>
  </si>
  <si>
    <t>Обмерные работы</t>
  </si>
  <si>
    <t>Директор                                                                                                                                                                      А.И.Григорьева</t>
  </si>
  <si>
    <t xml:space="preserve">Итого по разделу №1 в  ценах на 4 квартал 2017 г. Кпер.=3,630  (Приложение  к приказу Москомэкспертизы  от 30.12.2016 №МКЭ-ОД/16-80) </t>
  </si>
  <si>
    <t xml:space="preserve">Итого по разделу №1  в  ценах 4 кв. 2017 г. Кпер.= 3,630  (Приложение к приказу МКЭ от 30.12.2016 г. № МКЭ-ОД/16-80)  </t>
  </si>
  <si>
    <t>Итого начальная (максимальная) цена с учетом продолжительности выполнения проектных работ принимается в сумме: 1 872,90698 тыс.руб., в том числе 963,86046 тыс.руб., в т.ч. НДС-18% - 147,02956 тыс.руб, и 909,04654 тыс.руб. НДС не облагается*</t>
  </si>
  <si>
    <t xml:space="preserve">        Начальная (максимальная) цена контракта составляет 1 872 906 (Один миллион восемьсот семьдесят две тысячи девятьсот шесть рублей) 98 копеек, в том числе 963 860 (Девятьсот шестьдесят три тысячи восемьсот шестьдесят рублей) 46 копеек,  в т.ч. НДС-18% - 147 029 (Сто сорок семь тысяч двадцать девять рублей) 56 копеек, и 909 046 (Девятьсот девять тысяч сорок шесть рублей) 52 копейки.  НДС не облагается
 *Налоговый кодекс РФ, статья 149 п.2 п.п.15</t>
  </si>
  <si>
    <t xml:space="preserve">Окончание работ:  150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</si>
</sst>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?_р_._-;_-@_-"/>
    <numFmt numFmtId="165" formatCode="0.0000"/>
    <numFmt numFmtId="166" formatCode="_-* #,##0.0000_р_._-;\-* #,##0.0000_р_._-;_-* &quot;-&quot;??_р_._-;_-@_-"/>
    <numFmt numFmtId="167" formatCode="#,##0.00000"/>
    <numFmt numFmtId="168" formatCode="_-* #,##0.00000_р_._-;\-* #,##0.00000_р_._-;_-* &quot;-&quot;??_р_._-;_-@_-"/>
    <numFmt numFmtId="169" formatCode="_-* #,##0.00000_р_._-;\-* #,##0.00000_р_._-;_-* &quot;-&quot;????_р_._-;_-@_-"/>
    <numFmt numFmtId="170" formatCode="_-* #,##0.00000_р_._-;\-* #,##0.00000_р_._-;_-* &quot;-&quot;?????_р_._-;_-@_-"/>
    <numFmt numFmtId="171" formatCode="#,##0.00_ ;\-#,##0.00\ "/>
    <numFmt numFmtId="172" formatCode="0.000"/>
    <numFmt numFmtId="173" formatCode="_-* #,##0.00000\ _₽_-;\-* #,##0.00000\ _₽_-;_-* &quot;-&quot;?????\ _₽_-;_-@_-"/>
  </numFmts>
  <fonts count="5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5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44" fontId="3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21" fillId="0" borderId="0"/>
    <xf numFmtId="0" fontId="26" fillId="0" borderId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" fillId="0" borderId="0"/>
    <xf numFmtId="0" fontId="39" fillId="0" borderId="0">
      <alignment horizontal="left" vertical="center"/>
    </xf>
    <xf numFmtId="0" fontId="40" fillId="0" borderId="0">
      <alignment horizontal="right" vertical="center"/>
    </xf>
    <xf numFmtId="0" fontId="38" fillId="0" borderId="0">
      <alignment horizontal="center" vertical="center"/>
    </xf>
    <xf numFmtId="0" fontId="37" fillId="0" borderId="0">
      <alignment horizontal="center" vertical="top"/>
    </xf>
    <xf numFmtId="0" fontId="40" fillId="0" borderId="0">
      <alignment horizontal="left" vertical="top"/>
    </xf>
    <xf numFmtId="0" fontId="37" fillId="0" borderId="0">
      <alignment horizontal="left" vertical="top"/>
    </xf>
    <xf numFmtId="0" fontId="40" fillId="0" borderId="0">
      <alignment horizontal="left" vertical="center"/>
    </xf>
    <xf numFmtId="0" fontId="37" fillId="0" borderId="0">
      <alignment horizontal="left" vertical="center"/>
    </xf>
    <xf numFmtId="0" fontId="37" fillId="0" borderId="10">
      <alignment horizontal="center" vertical="center"/>
    </xf>
    <xf numFmtId="0" fontId="37" fillId="0" borderId="10">
      <alignment horizontal="left" vertical="center"/>
    </xf>
    <xf numFmtId="0" fontId="37" fillId="0" borderId="10">
      <alignment horizontal="right" vertical="center"/>
    </xf>
    <xf numFmtId="0" fontId="37" fillId="0" borderId="10">
      <alignment horizontal="right" vertical="center"/>
    </xf>
    <xf numFmtId="0" fontId="37" fillId="0" borderId="12">
      <alignment horizontal="right" vertical="center"/>
    </xf>
    <xf numFmtId="0" fontId="37" fillId="0" borderId="12">
      <alignment horizontal="right" vertical="center"/>
    </xf>
    <xf numFmtId="0" fontId="37" fillId="0" borderId="14">
      <alignment horizontal="left" vertical="center"/>
    </xf>
    <xf numFmtId="0" fontId="37" fillId="0" borderId="15">
      <alignment horizontal="left" vertical="top"/>
    </xf>
    <xf numFmtId="0" fontId="37" fillId="0" borderId="21">
      <alignment horizontal="left" vertical="top"/>
    </xf>
    <xf numFmtId="0" fontId="37" fillId="0" borderId="14">
      <alignment horizontal="left" vertical="center"/>
    </xf>
    <xf numFmtId="0" fontId="37" fillId="0" borderId="12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35">
    <xf numFmtId="0" fontId="0" fillId="0" borderId="0" xfId="0"/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40" applyFont="1"/>
    <xf numFmtId="0" fontId="23" fillId="0" borderId="0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center"/>
    </xf>
    <xf numFmtId="0" fontId="27" fillId="18" borderId="14" xfId="41" applyFont="1" applyFill="1" applyBorder="1" applyAlignment="1">
      <alignment wrapText="1"/>
    </xf>
    <xf numFmtId="43" fontId="22" fillId="18" borderId="0" xfId="0" applyNumberFormat="1" applyFont="1" applyFill="1" applyBorder="1" applyAlignment="1">
      <alignment horizontal="center" vertical="center"/>
    </xf>
    <xf numFmtId="0" fontId="22" fillId="18" borderId="0" xfId="0" applyFont="1" applyFill="1" applyBorder="1" applyAlignment="1">
      <alignment vertical="top"/>
    </xf>
    <xf numFmtId="164" fontId="22" fillId="18" borderId="0" xfId="0" applyNumberFormat="1" applyFont="1" applyFill="1" applyBorder="1" applyAlignment="1">
      <alignment vertical="top"/>
    </xf>
    <xf numFmtId="43" fontId="22" fillId="0" borderId="0" xfId="0" applyNumberFormat="1" applyFont="1" applyBorder="1" applyAlignment="1">
      <alignment vertical="top"/>
    </xf>
    <xf numFmtId="0" fontId="22" fillId="18" borderId="0" xfId="0" applyFont="1" applyFill="1" applyAlignment="1">
      <alignment horizontal="center" vertical="center" wrapText="1"/>
    </xf>
    <xf numFmtId="0" fontId="22" fillId="18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43" fontId="22" fillId="18" borderId="0" xfId="0" applyNumberFormat="1" applyFont="1" applyFill="1" applyAlignment="1">
      <alignment horizontal="center" vertical="center" wrapText="1"/>
    </xf>
    <xf numFmtId="43" fontId="22" fillId="0" borderId="0" xfId="0" applyNumberFormat="1" applyFont="1" applyAlignment="1">
      <alignment horizontal="left" vertical="top" wrapText="1"/>
    </xf>
    <xf numFmtId="0" fontId="28" fillId="0" borderId="0" xfId="0" applyFont="1"/>
    <xf numFmtId="4" fontId="22" fillId="0" borderId="0" xfId="0" applyNumberFormat="1" applyFont="1" applyBorder="1" applyAlignment="1">
      <alignment vertical="top"/>
    </xf>
    <xf numFmtId="3" fontId="22" fillId="0" borderId="0" xfId="0" applyNumberFormat="1" applyFont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/>
    <xf numFmtId="0" fontId="34" fillId="0" borderId="0" xfId="0" applyFont="1" applyAlignment="1"/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/>
    <xf numFmtId="165" fontId="22" fillId="0" borderId="0" xfId="0" applyNumberFormat="1" applyFont="1" applyBorder="1" applyAlignment="1">
      <alignment vertical="top"/>
    </xf>
    <xf numFmtId="167" fontId="27" fillId="18" borderId="10" xfId="41" applyNumberFormat="1" applyFont="1" applyFill="1" applyBorder="1" applyAlignment="1">
      <alignment horizontal="center" vertical="center" wrapText="1"/>
    </xf>
    <xf numFmtId="168" fontId="27" fillId="18" borderId="10" xfId="41" applyNumberFormat="1" applyFont="1" applyFill="1" applyBorder="1" applyAlignment="1">
      <alignment vertical="center" wrapText="1"/>
    </xf>
    <xf numFmtId="0" fontId="28" fillId="18" borderId="0" xfId="0" applyFont="1" applyFill="1"/>
    <xf numFmtId="0" fontId="22" fillId="0" borderId="0" xfId="0" applyFont="1" applyBorder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2" fillId="18" borderId="0" xfId="0" applyFont="1" applyFill="1" applyBorder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22" fillId="0" borderId="0" xfId="0" applyFont="1" applyBorder="1" applyAlignment="1">
      <alignment horizontal="right"/>
    </xf>
    <xf numFmtId="0" fontId="41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32" fillId="0" borderId="0" xfId="0" applyFont="1" applyAlignment="1">
      <alignment wrapText="1"/>
    </xf>
    <xf numFmtId="169" fontId="27" fillId="18" borderId="10" xfId="41" applyNumberFormat="1" applyFont="1" applyFill="1" applyBorder="1" applyAlignment="1">
      <alignment horizontal="left" vertical="center" wrapText="1"/>
    </xf>
    <xf numFmtId="0" fontId="33" fillId="0" borderId="0" xfId="0" applyFont="1" applyAlignment="1"/>
    <xf numFmtId="170" fontId="28" fillId="0" borderId="0" xfId="0" applyNumberFormat="1" applyFont="1"/>
    <xf numFmtId="0" fontId="29" fillId="0" borderId="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3" fillId="0" borderId="0" xfId="0" applyFont="1" applyBorder="1"/>
    <xf numFmtId="0" fontId="22" fillId="0" borderId="0" xfId="0" applyFont="1" applyBorder="1"/>
    <xf numFmtId="0" fontId="23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/>
    </xf>
    <xf numFmtId="4" fontId="22" fillId="0" borderId="0" xfId="0" applyNumberFormat="1" applyFont="1"/>
    <xf numFmtId="49" fontId="23" fillId="0" borderId="23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Fill="1" applyBorder="1"/>
    <xf numFmtId="49" fontId="23" fillId="0" borderId="24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0" fontId="22" fillId="0" borderId="24" xfId="0" applyFont="1" applyBorder="1" applyAlignment="1">
      <alignment horizontal="left" vertical="top" wrapText="1"/>
    </xf>
    <xf numFmtId="49" fontId="23" fillId="0" borderId="0" xfId="0" applyNumberFormat="1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2" fillId="18" borderId="24" xfId="0" applyFont="1" applyFill="1" applyBorder="1" applyAlignment="1">
      <alignment horizontal="left" vertical="top" wrapText="1"/>
    </xf>
    <xf numFmtId="49" fontId="22" fillId="0" borderId="10" xfId="0" applyNumberFormat="1" applyFont="1" applyFill="1" applyBorder="1" applyAlignment="1">
      <alignment horizontal="left" vertical="top" wrapText="1"/>
    </xf>
    <xf numFmtId="0" fontId="22" fillId="0" borderId="10" xfId="0" applyNumberFormat="1" applyFont="1" applyFill="1" applyBorder="1" applyAlignment="1">
      <alignment horizontal="left" vertical="top" wrapText="1"/>
    </xf>
    <xf numFmtId="43" fontId="22" fillId="18" borderId="10" xfId="47" applyFont="1" applyFill="1" applyBorder="1" applyAlignment="1">
      <alignment horizontal="left" vertical="top" wrapText="1"/>
    </xf>
    <xf numFmtId="0" fontId="22" fillId="0" borderId="24" xfId="0" applyFont="1" applyFill="1" applyBorder="1" applyAlignment="1">
      <alignment horizontal="left" vertical="top" wrapText="1"/>
    </xf>
    <xf numFmtId="43" fontId="44" fillId="18" borderId="12" xfId="47" applyFont="1" applyFill="1" applyBorder="1" applyAlignment="1">
      <alignment horizontal="left" vertical="top" wrapText="1"/>
    </xf>
    <xf numFmtId="49" fontId="22" fillId="0" borderId="0" xfId="40" applyNumberFormat="1" applyFont="1" applyAlignment="1">
      <alignment vertical="center"/>
    </xf>
    <xf numFmtId="49" fontId="22" fillId="0" borderId="0" xfId="40" applyNumberFormat="1" applyFont="1" applyAlignment="1">
      <alignment horizontal="left" vertical="top"/>
    </xf>
    <xf numFmtId="0" fontId="22" fillId="0" borderId="0" xfId="0" applyFont="1"/>
    <xf numFmtId="0" fontId="22" fillId="0" borderId="0" xfId="0" applyFont="1" applyFill="1" applyBorder="1" applyAlignment="1">
      <alignment horizontal="left" vertical="top" wrapText="1"/>
    </xf>
    <xf numFmtId="49" fontId="44" fillId="0" borderId="0" xfId="0" applyNumberFormat="1" applyFont="1" applyFill="1" applyBorder="1" applyAlignment="1">
      <alignment horizontal="left" vertical="top" wrapText="1"/>
    </xf>
    <xf numFmtId="0" fontId="23" fillId="0" borderId="20" xfId="0" applyFont="1" applyFill="1" applyBorder="1" applyAlignment="1">
      <alignment horizontal="center" vertical="top" wrapText="1"/>
    </xf>
    <xf numFmtId="0" fontId="23" fillId="18" borderId="10" xfId="0" applyFont="1" applyFill="1" applyBorder="1" applyAlignment="1">
      <alignment horizontal="center" vertical="center" wrapText="1"/>
    </xf>
    <xf numFmtId="0" fontId="24" fillId="0" borderId="0" xfId="0" applyFont="1"/>
    <xf numFmtId="0" fontId="33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168" fontId="27" fillId="18" borderId="10" xfId="48" applyNumberFormat="1" applyFont="1" applyFill="1" applyBorder="1" applyAlignment="1">
      <alignment horizontal="left" vertical="center" wrapText="1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49" fontId="24" fillId="0" borderId="0" xfId="0" applyNumberFormat="1" applyFont="1" applyAlignment="1">
      <alignment horizontal="left"/>
    </xf>
    <xf numFmtId="0" fontId="25" fillId="18" borderId="0" xfId="0" applyFont="1" applyFill="1" applyAlignment="1">
      <alignment horizontal="left" wrapText="1"/>
    </xf>
    <xf numFmtId="0" fontId="25" fillId="0" borderId="0" xfId="0" applyFont="1"/>
    <xf numFmtId="0" fontId="25" fillId="0" borderId="0" xfId="0" applyFont="1" applyAlignment="1">
      <alignment vertical="top" wrapText="1"/>
    </xf>
    <xf numFmtId="0" fontId="24" fillId="0" borderId="0" xfId="0" applyFont="1" applyFill="1" applyBorder="1"/>
    <xf numFmtId="4" fontId="45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top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49" fontId="25" fillId="0" borderId="29" xfId="0" applyNumberFormat="1" applyFont="1" applyFill="1" applyBorder="1" applyAlignment="1">
      <alignment horizontal="left" vertical="top" wrapText="1"/>
    </xf>
    <xf numFmtId="0" fontId="25" fillId="0" borderId="29" xfId="0" applyFont="1" applyFill="1" applyBorder="1" applyAlignment="1">
      <alignment horizontal="center" vertical="top" wrapText="1"/>
    </xf>
    <xf numFmtId="166" fontId="24" fillId="0" borderId="0" xfId="0" applyNumberFormat="1" applyFont="1" applyFill="1" applyAlignment="1">
      <alignment horizontal="right"/>
    </xf>
    <xf numFmtId="0" fontId="24" fillId="0" borderId="0" xfId="0" applyFont="1" applyFill="1" applyBorder="1" applyAlignment="1">
      <alignment horizontal="left" wrapText="1"/>
    </xf>
    <xf numFmtId="43" fontId="24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9" fontId="24" fillId="0" borderId="29" xfId="0" applyNumberFormat="1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left" vertical="top" wrapText="1"/>
    </xf>
    <xf numFmtId="0" fontId="24" fillId="0" borderId="29" xfId="0" applyFont="1" applyFill="1" applyBorder="1" applyAlignment="1">
      <alignment horizontal="center" vertical="top" wrapText="1"/>
    </xf>
    <xf numFmtId="0" fontId="24" fillId="0" borderId="29" xfId="0" applyNumberFormat="1" applyFont="1" applyFill="1" applyBorder="1" applyAlignment="1">
      <alignment horizontal="left" vertical="top" wrapText="1"/>
    </xf>
    <xf numFmtId="43" fontId="24" fillId="0" borderId="29" xfId="47" applyFont="1" applyFill="1" applyBorder="1" applyAlignment="1">
      <alignment horizontal="left" vertical="top" wrapText="1"/>
    </xf>
    <xf numFmtId="43" fontId="24" fillId="0" borderId="33" xfId="47" applyFont="1" applyFill="1" applyBorder="1" applyAlignment="1">
      <alignment horizontal="left" vertical="center" wrapText="1"/>
    </xf>
    <xf numFmtId="43" fontId="46" fillId="0" borderId="0" xfId="47" applyFont="1" applyFill="1"/>
    <xf numFmtId="43" fontId="24" fillId="0" borderId="0" xfId="47" applyFont="1" applyFill="1"/>
    <xf numFmtId="0" fontId="24" fillId="0" borderId="29" xfId="0" applyFont="1" applyBorder="1" applyAlignment="1">
      <alignment horizontal="left" vertical="top" wrapText="1"/>
    </xf>
    <xf numFmtId="0" fontId="24" fillId="0" borderId="29" xfId="0" applyFont="1" applyBorder="1" applyAlignment="1">
      <alignment horizontal="center" vertical="top" wrapText="1"/>
    </xf>
    <xf numFmtId="0" fontId="36" fillId="0" borderId="33" xfId="0" applyFont="1" applyFill="1" applyBorder="1" applyAlignment="1">
      <alignment horizontal="left" vertical="top" wrapText="1"/>
    </xf>
    <xf numFmtId="43" fontId="24" fillId="0" borderId="0" xfId="47" applyFont="1"/>
    <xf numFmtId="0" fontId="24" fillId="0" borderId="29" xfId="0" applyFont="1" applyFill="1" applyBorder="1" applyAlignment="1">
      <alignment vertical="top" wrapText="1"/>
    </xf>
    <xf numFmtId="4" fontId="24" fillId="0" borderId="29" xfId="0" applyNumberFormat="1" applyFont="1" applyFill="1" applyBorder="1" applyAlignment="1">
      <alignment horizontal="left" vertical="top" wrapText="1"/>
    </xf>
    <xf numFmtId="0" fontId="24" fillId="18" borderId="29" xfId="0" applyFont="1" applyFill="1" applyBorder="1" applyAlignment="1">
      <alignment horizontal="left" vertical="top" wrapText="1" readingOrder="1"/>
    </xf>
    <xf numFmtId="4" fontId="24" fillId="18" borderId="29" xfId="0" applyNumberFormat="1" applyFont="1" applyFill="1" applyBorder="1" applyAlignment="1">
      <alignment horizontal="left" vertical="top" wrapText="1"/>
    </xf>
    <xf numFmtId="43" fontId="24" fillId="0" borderId="29" xfId="47" applyFont="1" applyBorder="1" applyAlignment="1">
      <alignment horizontal="left" vertical="top" wrapText="1"/>
    </xf>
    <xf numFmtId="43" fontId="24" fillId="20" borderId="0" xfId="47" applyFont="1" applyFill="1"/>
    <xf numFmtId="49" fontId="24" fillId="0" borderId="29" xfId="0" applyNumberFormat="1" applyFont="1" applyBorder="1" applyAlignment="1">
      <alignment horizontal="left" vertical="top" wrapText="1"/>
    </xf>
    <xf numFmtId="171" fontId="24" fillId="0" borderId="29" xfId="47" applyNumberFormat="1" applyFont="1" applyBorder="1" applyAlignment="1">
      <alignment horizontal="right" vertical="top" wrapText="1"/>
    </xf>
    <xf numFmtId="4" fontId="24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center"/>
    </xf>
    <xf numFmtId="43" fontId="24" fillId="0" borderId="0" xfId="47" applyFont="1" applyBorder="1" applyAlignment="1">
      <alignment horizontal="right" vertical="center" wrapText="1"/>
    </xf>
    <xf numFmtId="0" fontId="24" fillId="0" borderId="0" xfId="0" applyFont="1" applyBorder="1"/>
    <xf numFmtId="4" fontId="24" fillId="0" borderId="29" xfId="0" applyNumberFormat="1" applyFont="1" applyFill="1" applyBorder="1" applyAlignment="1">
      <alignment horizontal="right" vertical="center" wrapText="1"/>
    </xf>
    <xf numFmtId="4" fontId="24" fillId="0" borderId="0" xfId="0" applyNumberFormat="1" applyFont="1"/>
    <xf numFmtId="4" fontId="24" fillId="0" borderId="29" xfId="0" applyNumberFormat="1" applyFont="1" applyBorder="1" applyAlignment="1">
      <alignment horizontal="right" vertical="center" wrapText="1"/>
    </xf>
    <xf numFmtId="43" fontId="24" fillId="0" borderId="0" xfId="0" applyNumberFormat="1" applyFont="1"/>
    <xf numFmtId="4" fontId="24" fillId="0" borderId="0" xfId="0" applyNumberFormat="1" applyFont="1" applyBorder="1" applyAlignment="1">
      <alignment horizontal="center" vertical="center"/>
    </xf>
    <xf numFmtId="4" fontId="25" fillId="0" borderId="29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4" fontId="25" fillId="0" borderId="0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left" vertical="top"/>
    </xf>
    <xf numFmtId="4" fontId="24" fillId="0" borderId="0" xfId="0" applyNumberFormat="1" applyFont="1" applyAlignment="1">
      <alignment vertical="top" wrapText="1"/>
    </xf>
    <xf numFmtId="4" fontId="47" fillId="0" borderId="0" xfId="0" applyNumberFormat="1" applyFont="1"/>
    <xf numFmtId="0" fontId="47" fillId="0" borderId="0" xfId="0" applyFont="1"/>
    <xf numFmtId="43" fontId="24" fillId="0" borderId="0" xfId="47" applyFont="1" applyAlignment="1">
      <alignment vertical="top" wrapText="1"/>
    </xf>
    <xf numFmtId="49" fontId="24" fillId="0" borderId="0" xfId="0" applyNumberFormat="1" applyFont="1" applyAlignment="1">
      <alignment horizontal="left" vertical="top" wrapText="1"/>
    </xf>
    <xf numFmtId="49" fontId="22" fillId="0" borderId="11" xfId="0" applyNumberFormat="1" applyFont="1" applyFill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49" fontId="22" fillId="18" borderId="10" xfId="0" applyNumberFormat="1" applyFont="1" applyFill="1" applyBorder="1" applyAlignment="1">
      <alignment horizontal="center" vertical="top" wrapText="1"/>
    </xf>
    <xf numFmtId="0" fontId="22" fillId="18" borderId="10" xfId="0" applyFont="1" applyFill="1" applyBorder="1" applyAlignment="1">
      <alignment horizontal="left" vertical="top" wrapText="1"/>
    </xf>
    <xf numFmtId="0" fontId="22" fillId="18" borderId="10" xfId="0" applyFont="1" applyFill="1" applyBorder="1" applyAlignment="1">
      <alignment horizontal="center" vertical="top" wrapText="1"/>
    </xf>
    <xf numFmtId="0" fontId="22" fillId="0" borderId="11" xfId="0" applyNumberFormat="1" applyFont="1" applyFill="1" applyBorder="1" applyAlignment="1">
      <alignment horizontal="left" vertical="top" wrapText="1"/>
    </xf>
    <xf numFmtId="49" fontId="22" fillId="0" borderId="10" xfId="0" applyNumberFormat="1" applyFont="1" applyFill="1" applyBorder="1" applyAlignment="1">
      <alignment horizontal="center" vertical="top" wrapText="1"/>
    </xf>
    <xf numFmtId="43" fontId="22" fillId="18" borderId="11" xfId="47" applyFont="1" applyFill="1" applyBorder="1" applyAlignment="1">
      <alignment horizontal="left" vertical="top" wrapText="1"/>
    </xf>
    <xf numFmtId="0" fontId="22" fillId="18" borderId="13" xfId="0" applyFont="1" applyFill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top" wrapText="1"/>
    </xf>
    <xf numFmtId="49" fontId="44" fillId="0" borderId="14" xfId="0" applyNumberFormat="1" applyFont="1" applyFill="1" applyBorder="1" applyAlignment="1">
      <alignment horizontal="left" vertical="top" wrapText="1"/>
    </xf>
    <xf numFmtId="49" fontId="44" fillId="0" borderId="13" xfId="0" applyNumberFormat="1" applyFont="1" applyFill="1" applyBorder="1" applyAlignment="1">
      <alignment horizontal="left" vertical="top" wrapText="1"/>
    </xf>
    <xf numFmtId="49" fontId="22" fillId="0" borderId="0" xfId="40" applyNumberFormat="1" applyFont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4" fontId="25" fillId="0" borderId="0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top" wrapText="1"/>
    </xf>
    <xf numFmtId="0" fontId="22" fillId="0" borderId="10" xfId="40" applyFont="1" applyBorder="1" applyAlignment="1">
      <alignment horizontal="left" vertical="top" wrapText="1"/>
    </xf>
    <xf numFmtId="0" fontId="22" fillId="18" borderId="10" xfId="40" applyFont="1" applyFill="1" applyBorder="1" applyAlignment="1">
      <alignment horizontal="left" vertical="top" wrapText="1"/>
    </xf>
    <xf numFmtId="0" fontId="22" fillId="0" borderId="10" xfId="40" applyFont="1" applyBorder="1" applyAlignment="1">
      <alignment horizontal="center" vertical="top" wrapText="1"/>
    </xf>
    <xf numFmtId="2" fontId="22" fillId="0" borderId="10" xfId="49" applyNumberFormat="1" applyFont="1" applyBorder="1" applyAlignment="1">
      <alignment horizontal="center" vertical="top" wrapText="1"/>
    </xf>
    <xf numFmtId="172" fontId="22" fillId="0" borderId="10" xfId="40" applyNumberFormat="1" applyFont="1" applyBorder="1" applyAlignment="1">
      <alignment horizontal="center" vertical="top" wrapText="1"/>
    </xf>
    <xf numFmtId="43" fontId="22" fillId="18" borderId="34" xfId="49" applyNumberFormat="1" applyFont="1" applyFill="1" applyBorder="1" applyAlignment="1">
      <alignment horizontal="center" vertical="top" wrapText="1"/>
    </xf>
    <xf numFmtId="43" fontId="22" fillId="0" borderId="34" xfId="47" applyFont="1" applyBorder="1" applyAlignment="1">
      <alignment horizontal="center" vertical="top" wrapText="1"/>
    </xf>
    <xf numFmtId="43" fontId="22" fillId="0" borderId="34" xfId="49" applyNumberFormat="1" applyFont="1" applyBorder="1" applyAlignment="1">
      <alignment horizontal="center" vertical="top" wrapText="1"/>
    </xf>
    <xf numFmtId="2" fontId="22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left" vertical="top" wrapText="1"/>
    </xf>
    <xf numFmtId="49" fontId="44" fillId="0" borderId="10" xfId="0" applyNumberFormat="1" applyFont="1" applyFill="1" applyBorder="1" applyAlignment="1">
      <alignment horizontal="left" vertical="top" wrapText="1"/>
    </xf>
    <xf numFmtId="173" fontId="23" fillId="0" borderId="10" xfId="0" applyNumberFormat="1" applyFont="1" applyBorder="1" applyAlignment="1">
      <alignment horizontal="left" vertical="top" wrapText="1"/>
    </xf>
    <xf numFmtId="168" fontId="49" fillId="18" borderId="10" xfId="4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left" vertical="top"/>
    </xf>
    <xf numFmtId="2" fontId="22" fillId="18" borderId="10" xfId="49" applyNumberFormat="1" applyFont="1" applyFill="1" applyBorder="1" applyAlignment="1">
      <alignment horizontal="center" vertical="top" wrapText="1"/>
    </xf>
    <xf numFmtId="0" fontId="24" fillId="18" borderId="29" xfId="0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/>
    <xf numFmtId="0" fontId="31" fillId="0" borderId="0" xfId="0" applyFont="1" applyAlignment="1">
      <alignment wrapText="1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 wrapText="1"/>
    </xf>
    <xf numFmtId="0" fontId="33" fillId="18" borderId="0" xfId="0" applyFont="1" applyFill="1" applyAlignment="1"/>
    <xf numFmtId="0" fontId="35" fillId="18" borderId="0" xfId="0" applyFont="1" applyFill="1" applyAlignment="1"/>
    <xf numFmtId="0" fontId="35" fillId="0" borderId="0" xfId="0" applyFont="1" applyAlignment="1"/>
    <xf numFmtId="0" fontId="31" fillId="0" borderId="0" xfId="0" applyFont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2" fillId="18" borderId="0" xfId="0" applyFont="1" applyFill="1" applyAlignment="1">
      <alignment horizontal="left" vertical="center" wrapText="1"/>
    </xf>
    <xf numFmtId="0" fontId="30" fillId="18" borderId="0" xfId="0" applyFont="1" applyFill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0" fontId="25" fillId="18" borderId="0" xfId="51" applyFont="1" applyFill="1" applyBorder="1" applyAlignment="1">
      <alignment horizontal="left" vertical="center" wrapText="1"/>
    </xf>
    <xf numFmtId="0" fontId="27" fillId="0" borderId="16" xfId="41" applyFont="1" applyBorder="1" applyAlignment="1">
      <alignment horizontal="center" vertical="center"/>
    </xf>
    <xf numFmtId="0" fontId="27" fillId="0" borderId="17" xfId="41" applyFont="1" applyBorder="1" applyAlignment="1">
      <alignment horizontal="center" vertical="center"/>
    </xf>
    <xf numFmtId="0" fontId="27" fillId="0" borderId="19" xfId="41" applyFont="1" applyBorder="1" applyAlignment="1">
      <alignment horizontal="center" vertical="center"/>
    </xf>
    <xf numFmtId="0" fontId="27" fillId="0" borderId="11" xfId="41" applyFont="1" applyBorder="1" applyAlignment="1">
      <alignment horizontal="center" vertical="top" wrapText="1"/>
    </xf>
    <xf numFmtId="0" fontId="27" fillId="0" borderId="18" xfId="41" applyFont="1" applyBorder="1" applyAlignment="1">
      <alignment horizontal="center" vertical="top" wrapText="1"/>
    </xf>
    <xf numFmtId="0" fontId="27" fillId="0" borderId="20" xfId="41" applyFont="1" applyBorder="1" applyAlignment="1">
      <alignment horizontal="center" vertical="top" wrapText="1"/>
    </xf>
    <xf numFmtId="0" fontId="42" fillId="18" borderId="14" xfId="41" applyFont="1" applyFill="1" applyBorder="1" applyAlignment="1">
      <alignment horizontal="center" vertical="center" wrapText="1"/>
    </xf>
    <xf numFmtId="0" fontId="42" fillId="18" borderId="13" xfId="41" applyFont="1" applyFill="1" applyBorder="1" applyAlignment="1">
      <alignment horizontal="center" vertical="center" wrapText="1"/>
    </xf>
    <xf numFmtId="0" fontId="42" fillId="18" borderId="12" xfId="41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22" fillId="18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40" applyNumberFormat="1" applyFont="1" applyAlignment="1">
      <alignment horizontal="left" vertical="top"/>
    </xf>
    <xf numFmtId="0" fontId="23" fillId="0" borderId="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49" fontId="44" fillId="19" borderId="14" xfId="0" applyNumberFormat="1" applyFont="1" applyFill="1" applyBorder="1" applyAlignment="1">
      <alignment horizontal="left" vertical="top" wrapText="1"/>
    </xf>
    <xf numFmtId="49" fontId="44" fillId="19" borderId="13" xfId="0" applyNumberFormat="1" applyFont="1" applyFill="1" applyBorder="1" applyAlignment="1">
      <alignment horizontal="left" vertical="top" wrapText="1"/>
    </xf>
    <xf numFmtId="49" fontId="44" fillId="19" borderId="12" xfId="0" applyNumberFormat="1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18" borderId="29" xfId="0" applyFont="1" applyFill="1" applyBorder="1" applyAlignment="1">
      <alignment horizontal="right" vertical="center" wrapText="1"/>
    </xf>
    <xf numFmtId="0" fontId="25" fillId="18" borderId="25" xfId="0" applyFont="1" applyFill="1" applyBorder="1" applyAlignment="1">
      <alignment horizontal="center" vertical="top" wrapText="1"/>
    </xf>
    <xf numFmtId="0" fontId="24" fillId="18" borderId="25" xfId="0" applyFont="1" applyFill="1" applyBorder="1" applyAlignment="1">
      <alignment horizontal="center" vertical="top" wrapText="1"/>
    </xf>
    <xf numFmtId="0" fontId="24" fillId="0" borderId="26" xfId="0" applyFont="1" applyFill="1" applyBorder="1" applyAlignment="1">
      <alignment horizontal="left" vertical="top" wrapText="1"/>
    </xf>
    <xf numFmtId="0" fontId="24" fillId="0" borderId="27" xfId="0" applyFont="1" applyFill="1" applyBorder="1" applyAlignment="1">
      <alignment horizontal="left" vertical="top" wrapText="1"/>
    </xf>
    <xf numFmtId="0" fontId="24" fillId="0" borderId="28" xfId="0" applyFont="1" applyFill="1" applyBorder="1" applyAlignment="1">
      <alignment horizontal="left" vertical="top" wrapText="1"/>
    </xf>
    <xf numFmtId="0" fontId="25" fillId="0" borderId="30" xfId="0" applyFont="1" applyFill="1" applyBorder="1" applyAlignment="1">
      <alignment horizontal="left" vertical="top" wrapText="1"/>
    </xf>
    <xf numFmtId="0" fontId="25" fillId="0" borderId="31" xfId="0" applyFont="1" applyFill="1" applyBorder="1" applyAlignment="1">
      <alignment horizontal="left" vertical="top" wrapText="1"/>
    </xf>
    <xf numFmtId="0" fontId="25" fillId="0" borderId="32" xfId="0" applyFont="1" applyFill="1" applyBorder="1" applyAlignment="1">
      <alignment horizontal="left" vertical="top" wrapText="1"/>
    </xf>
    <xf numFmtId="0" fontId="25" fillId="0" borderId="30" xfId="0" applyFont="1" applyFill="1" applyBorder="1" applyAlignment="1">
      <alignment vertical="top" wrapText="1"/>
    </xf>
    <xf numFmtId="0" fontId="25" fillId="0" borderId="31" xfId="0" applyFont="1" applyFill="1" applyBorder="1" applyAlignment="1">
      <alignment vertical="top" wrapText="1"/>
    </xf>
    <xf numFmtId="0" fontId="25" fillId="0" borderId="32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vertical="top" wrapText="1"/>
    </xf>
    <xf numFmtId="49" fontId="24" fillId="0" borderId="0" xfId="0" applyNumberFormat="1" applyFont="1" applyAlignment="1">
      <alignment horizontal="left" vertical="top"/>
    </xf>
    <xf numFmtId="0" fontId="25" fillId="0" borderId="29" xfId="0" applyFont="1" applyBorder="1" applyAlignment="1">
      <alignment horizontal="right" vertical="center" wrapText="1"/>
    </xf>
    <xf numFmtId="49" fontId="44" fillId="0" borderId="14" xfId="0" applyNumberFormat="1" applyFont="1" applyFill="1" applyBorder="1" applyAlignment="1">
      <alignment horizontal="left" vertical="top" wrapText="1"/>
    </xf>
    <xf numFmtId="49" fontId="44" fillId="0" borderId="13" xfId="0" applyNumberFormat="1" applyFont="1" applyFill="1" applyBorder="1" applyAlignment="1">
      <alignment horizontal="left" vertical="top" wrapText="1"/>
    </xf>
    <xf numFmtId="49" fontId="44" fillId="0" borderId="12" xfId="0" applyNumberFormat="1" applyFont="1" applyFill="1" applyBorder="1" applyAlignment="1">
      <alignment horizontal="left" vertical="top" wrapText="1"/>
    </xf>
  </cellXfs>
  <cellStyles count="7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Normal 2" xfId="19"/>
    <cellStyle name="Normal 3" xfId="20"/>
    <cellStyle name="Normal 4" xfId="21"/>
    <cellStyle name="S0" xfId="54"/>
    <cellStyle name="S1" xfId="53"/>
    <cellStyle name="S10" xfId="63"/>
    <cellStyle name="S11" xfId="64"/>
    <cellStyle name="S11 2" xfId="67"/>
    <cellStyle name="S11 3" xfId="68"/>
    <cellStyle name="S12" xfId="65"/>
    <cellStyle name="S12 2" xfId="69"/>
    <cellStyle name="S13" xfId="66"/>
    <cellStyle name="S13 2" xfId="70"/>
    <cellStyle name="S14" xfId="71"/>
    <cellStyle name="S2" xfId="60"/>
    <cellStyle name="S3" xfId="58"/>
    <cellStyle name="S4" xfId="55"/>
    <cellStyle name="S5" xfId="56"/>
    <cellStyle name="S6" xfId="57"/>
    <cellStyle name="S7" xfId="59"/>
    <cellStyle name="S8" xfId="61"/>
    <cellStyle name="S9" xfId="62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Денежный 2" xfId="31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Итог" xfId="36" builtinId="25" customBuiltin="1"/>
    <cellStyle name="Контрольная ячейка" xfId="37" builtinId="23" customBuiltin="1"/>
    <cellStyle name="Название" xfId="38" builtinId="15" customBuiltin="1"/>
    <cellStyle name="Нейтральный" xfId="39" builtinId="28" customBuiltin="1"/>
    <cellStyle name="Обычный" xfId="0" builtinId="0"/>
    <cellStyle name="Обычный 2" xfId="40"/>
    <cellStyle name="Обычный 2 11" xfId="51"/>
    <cellStyle name="Обычный 3" xfId="41"/>
    <cellStyle name="Обычный 3 2" xfId="72"/>
    <cellStyle name="Обычный 4" xfId="52"/>
    <cellStyle name="Обычный 4 2" xfId="75"/>
    <cellStyle name="Плохой" xfId="42" builtinId="27" customBuiltin="1"/>
    <cellStyle name="Пояснение" xfId="43" builtinId="53" customBuiltin="1"/>
    <cellStyle name="Примечание" xfId="44" builtinId="10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/>
    <cellStyle name="Финансовый 2" xfId="48"/>
    <cellStyle name="Финансовый 2 2" xfId="73"/>
    <cellStyle name="Финансовый 3" xfId="49"/>
    <cellStyle name="Финансовый 3 2" xfId="74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20" zoomScale="60" zoomScaleNormal="60" workbookViewId="0">
      <selection activeCell="I29" sqref="I29"/>
    </sheetView>
  </sheetViews>
  <sheetFormatPr defaultColWidth="9.140625" defaultRowHeight="20.25" x14ac:dyDescent="0.3"/>
  <cols>
    <col min="1" max="12" width="9.140625" style="21"/>
    <col min="13" max="13" width="16.5703125" style="21" customWidth="1"/>
    <col min="14" max="14" width="9.140625" style="21"/>
    <col min="15" max="15" width="14" style="21" bestFit="1" customWidth="1"/>
    <col min="16" max="16384" width="9.140625" style="21"/>
  </cols>
  <sheetData>
    <row r="1" spans="1:13" x14ac:dyDescent="0.3">
      <c r="A1" s="187" t="s">
        <v>40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x14ac:dyDescent="0.3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idden="1" x14ac:dyDescent="0.3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x14ac:dyDescent="0.3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5" spans="1:13" x14ac:dyDescent="0.3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7" spans="1:13" hidden="1" x14ac:dyDescent="0.3"/>
    <row r="8" spans="1:13" x14ac:dyDescent="0.3">
      <c r="A8" s="189" t="s">
        <v>25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3">
      <c r="A10" s="190" t="s">
        <v>143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3" x14ac:dyDescent="0.3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1:13" x14ac:dyDescent="0.3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</row>
    <row r="13" spans="1:13" x14ac:dyDescent="0.3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</row>
    <row r="14" spans="1:13" ht="42" customHeight="1" x14ac:dyDescent="0.3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</row>
    <row r="16" spans="1:13" ht="107.25" customHeight="1" x14ac:dyDescent="0.3">
      <c r="A16" s="191" t="s">
        <v>154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</row>
    <row r="17" spans="1:13" s="23" customFormat="1" ht="38.25" customHeight="1" x14ac:dyDescent="0.3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</row>
    <row r="19" spans="1:13" ht="52.5" customHeight="1" x14ac:dyDescent="0.3">
      <c r="A19" s="186" t="s">
        <v>44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</row>
    <row r="21" spans="1:13" x14ac:dyDescent="0.3">
      <c r="B21" s="21" t="s">
        <v>13</v>
      </c>
    </row>
    <row r="22" spans="1:13" ht="40.5" customHeight="1" x14ac:dyDescent="0.3">
      <c r="B22" s="21" t="s">
        <v>43</v>
      </c>
    </row>
    <row r="23" spans="1:13" x14ac:dyDescent="0.3">
      <c r="B23" s="180"/>
      <c r="C23" s="180"/>
      <c r="D23" s="180"/>
      <c r="E23" s="180"/>
      <c r="F23" s="180"/>
      <c r="G23" s="180"/>
      <c r="H23" s="180"/>
      <c r="I23" s="180"/>
      <c r="J23" s="180"/>
      <c r="K23" s="180"/>
    </row>
    <row r="24" spans="1:13" ht="24" customHeight="1" x14ac:dyDescent="0.3">
      <c r="A24" s="181" t="s">
        <v>38</v>
      </c>
      <c r="B24" s="181"/>
      <c r="C24" s="181"/>
      <c r="D24" s="181"/>
      <c r="E24" s="181"/>
      <c r="F24" s="23"/>
      <c r="G24" s="23"/>
      <c r="H24" s="23"/>
      <c r="I24" s="23"/>
    </row>
    <row r="25" spans="1:13" ht="60" customHeight="1" x14ac:dyDescent="0.3">
      <c r="A25" s="182" t="s">
        <v>145</v>
      </c>
      <c r="B25" s="182"/>
      <c r="C25" s="182"/>
      <c r="D25" s="182"/>
      <c r="E25" s="182"/>
      <c r="F25" s="182"/>
      <c r="G25" s="24"/>
      <c r="H25" s="25"/>
      <c r="I25" s="25"/>
      <c r="L25" s="25"/>
      <c r="M25" s="27"/>
    </row>
    <row r="26" spans="1:13" ht="28.5" customHeight="1" x14ac:dyDescent="0.3">
      <c r="A26" s="179" t="s">
        <v>39</v>
      </c>
      <c r="B26" s="179"/>
      <c r="C26" s="179"/>
      <c r="D26" s="179"/>
      <c r="E26" s="26"/>
      <c r="F26" s="23"/>
      <c r="L26" s="45" t="s">
        <v>146</v>
      </c>
      <c r="M26" s="27"/>
    </row>
    <row r="28" spans="1:13" x14ac:dyDescent="0.3">
      <c r="A28" s="183"/>
      <c r="B28" s="184"/>
      <c r="C28" s="184"/>
      <c r="D28" s="179"/>
      <c r="E28" s="185"/>
      <c r="F28" s="3"/>
      <c r="I28" s="3"/>
    </row>
    <row r="29" spans="1:13" ht="65.25" customHeight="1" x14ac:dyDescent="0.3">
      <c r="A29" s="178" t="s">
        <v>26</v>
      </c>
      <c r="B29" s="178"/>
      <c r="C29" s="178"/>
      <c r="D29" s="178"/>
      <c r="E29" s="178"/>
      <c r="F29" s="178"/>
      <c r="G29" s="178"/>
      <c r="H29" s="28"/>
      <c r="I29" s="28"/>
      <c r="J29" s="28"/>
      <c r="K29" s="28"/>
      <c r="L29" s="179" t="s">
        <v>27</v>
      </c>
      <c r="M29" s="179"/>
    </row>
  </sheetData>
  <mergeCells count="13">
    <mergeCell ref="A19:M19"/>
    <mergeCell ref="A1:M5"/>
    <mergeCell ref="A8:M8"/>
    <mergeCell ref="A10:M14"/>
    <mergeCell ref="A16:M17"/>
    <mergeCell ref="A29:G29"/>
    <mergeCell ref="L29:M29"/>
    <mergeCell ref="B23:K23"/>
    <mergeCell ref="A24:E24"/>
    <mergeCell ref="A25:F25"/>
    <mergeCell ref="A28:C28"/>
    <mergeCell ref="D28:E28"/>
    <mergeCell ref="A26:D26"/>
  </mergeCells>
  <pageMargins left="0.7" right="0.7" top="0.48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A30" sqref="A30"/>
    </sheetView>
  </sheetViews>
  <sheetFormatPr defaultRowHeight="18.75" x14ac:dyDescent="0.3"/>
  <cols>
    <col min="1" max="1" width="79.42578125" style="1" customWidth="1"/>
    <col min="2" max="2" width="34.42578125" style="20" customWidth="1"/>
    <col min="3" max="3" width="28.7109375" style="20" customWidth="1"/>
    <col min="4" max="4" width="34" style="2" customWidth="1"/>
    <col min="5" max="5" width="18.28515625" style="2" customWidth="1"/>
    <col min="6" max="6" width="24.140625" style="2" customWidth="1"/>
    <col min="7" max="7" width="9.140625" style="2"/>
    <col min="8" max="8" width="27.28515625" style="2" customWidth="1"/>
    <col min="9" max="9" width="22" style="2" customWidth="1"/>
    <col min="10" max="10" width="26.42578125" style="2" customWidth="1"/>
    <col min="11" max="12" width="14.140625" style="2" customWidth="1"/>
    <col min="13" max="16384" width="9.140625" style="2"/>
  </cols>
  <sheetData>
    <row r="1" spans="1:6" x14ac:dyDescent="0.3">
      <c r="A1" s="192" t="s">
        <v>41</v>
      </c>
      <c r="B1" s="192"/>
      <c r="C1" s="192"/>
      <c r="D1" s="192"/>
    </row>
    <row r="2" spans="1:6" ht="35.25" customHeight="1" x14ac:dyDescent="0.3">
      <c r="A2" s="192"/>
      <c r="B2" s="192"/>
      <c r="C2" s="192"/>
      <c r="D2" s="192"/>
    </row>
    <row r="3" spans="1:6" ht="59.25" customHeight="1" x14ac:dyDescent="0.3">
      <c r="A3" s="193" t="s">
        <v>144</v>
      </c>
      <c r="B3" s="193"/>
      <c r="C3" s="193"/>
      <c r="D3" s="193"/>
    </row>
    <row r="4" spans="1:6" ht="39.75" customHeight="1" x14ac:dyDescent="0.3">
      <c r="A4" s="35" t="s">
        <v>9</v>
      </c>
      <c r="B4" s="4"/>
      <c r="C4" s="4"/>
    </row>
    <row r="5" spans="1:6" s="6" customFormat="1" ht="22.5" customHeight="1" x14ac:dyDescent="0.3">
      <c r="A5" s="5" t="s">
        <v>20</v>
      </c>
      <c r="B5" s="5"/>
      <c r="C5" s="5"/>
      <c r="F5" s="6" t="s">
        <v>21</v>
      </c>
    </row>
    <row r="6" spans="1:6" s="6" customFormat="1" x14ac:dyDescent="0.3">
      <c r="A6" s="5"/>
      <c r="B6" s="5"/>
      <c r="C6" s="5"/>
      <c r="D6" s="40" t="s">
        <v>22</v>
      </c>
    </row>
    <row r="7" spans="1:6" s="6" customFormat="1" ht="18.75" customHeight="1" x14ac:dyDescent="0.2">
      <c r="A7" s="194" t="s">
        <v>23</v>
      </c>
      <c r="B7" s="197" t="s">
        <v>37</v>
      </c>
      <c r="C7" s="197" t="s">
        <v>30</v>
      </c>
      <c r="D7" s="197" t="s">
        <v>24</v>
      </c>
    </row>
    <row r="8" spans="1:6" s="6" customFormat="1" x14ac:dyDescent="0.2">
      <c r="A8" s="195"/>
      <c r="B8" s="198"/>
      <c r="C8" s="198"/>
      <c r="D8" s="198"/>
    </row>
    <row r="9" spans="1:6" s="6" customFormat="1" x14ac:dyDescent="0.2">
      <c r="A9" s="195"/>
      <c r="B9" s="198"/>
      <c r="C9" s="198"/>
      <c r="D9" s="198"/>
    </row>
    <row r="10" spans="1:6" s="6" customFormat="1" ht="54.75" customHeight="1" x14ac:dyDescent="0.2">
      <c r="A10" s="196"/>
      <c r="B10" s="199"/>
      <c r="C10" s="199"/>
      <c r="D10" s="199"/>
      <c r="E10" s="7"/>
      <c r="F10" s="7"/>
    </row>
    <row r="11" spans="1:6" s="6" customFormat="1" ht="28.5" customHeight="1" x14ac:dyDescent="0.2">
      <c r="A11" s="200" t="s">
        <v>80</v>
      </c>
      <c r="B11" s="201"/>
      <c r="C11" s="201"/>
      <c r="D11" s="202"/>
      <c r="E11" s="7"/>
      <c r="F11" s="7"/>
    </row>
    <row r="12" spans="1:6" s="6" customFormat="1" ht="37.5" customHeight="1" x14ac:dyDescent="0.25">
      <c r="A12" s="8" t="s">
        <v>42</v>
      </c>
      <c r="B12" s="30">
        <f>ROUND((B14+B15)*0.05,5)</f>
        <v>27.75018</v>
      </c>
      <c r="C12" s="84">
        <f t="shared" ref="C12:C13" si="0">B12</f>
        <v>27.75018</v>
      </c>
      <c r="D12" s="84">
        <f t="shared" ref="D12:D15" si="1">C12</f>
        <v>27.75018</v>
      </c>
      <c r="E12" s="7"/>
      <c r="F12" s="7"/>
    </row>
    <row r="13" spans="1:6" s="6" customFormat="1" ht="25.5" customHeight="1" x14ac:dyDescent="0.25">
      <c r="A13" s="8" t="s">
        <v>149</v>
      </c>
      <c r="B13" s="30">
        <f>'Обследование №1'!G22/1000</f>
        <v>234.07720999999998</v>
      </c>
      <c r="C13" s="84">
        <f t="shared" si="0"/>
        <v>234.07720999999998</v>
      </c>
      <c r="D13" s="31">
        <f t="shared" si="1"/>
        <v>234.07720999999998</v>
      </c>
      <c r="E13" s="7"/>
      <c r="F13" s="7"/>
    </row>
    <row r="14" spans="1:6" s="6" customFormat="1" ht="32.25" customHeight="1" x14ac:dyDescent="0.25">
      <c r="A14" s="8" t="s">
        <v>56</v>
      </c>
      <c r="B14" s="30">
        <f>'Проект+РД № 1'!F14/1000</f>
        <v>260.98813999999999</v>
      </c>
      <c r="C14" s="84">
        <f>B14</f>
        <v>260.98813999999999</v>
      </c>
      <c r="D14" s="31">
        <f t="shared" si="1"/>
        <v>260.98813999999999</v>
      </c>
      <c r="E14" s="7"/>
      <c r="F14" s="7"/>
    </row>
    <row r="15" spans="1:6" s="6" customFormat="1" ht="34.5" customHeight="1" x14ac:dyDescent="0.25">
      <c r="A15" s="8" t="s">
        <v>57</v>
      </c>
      <c r="B15" s="30">
        <f>'Проект+РД № 1'!F20/1000</f>
        <v>294.01537000000002</v>
      </c>
      <c r="C15" s="84">
        <f>B15</f>
        <v>294.01537000000002</v>
      </c>
      <c r="D15" s="31">
        <f t="shared" si="1"/>
        <v>294.01537000000002</v>
      </c>
      <c r="E15" s="7"/>
      <c r="F15" s="7"/>
    </row>
    <row r="16" spans="1:6" s="6" customFormat="1" ht="31.5" customHeight="1" x14ac:dyDescent="0.25">
      <c r="A16" s="8" t="s">
        <v>3</v>
      </c>
      <c r="B16" s="30">
        <f>ROUND(SUM(B12:B15),5)</f>
        <v>816.83090000000004</v>
      </c>
      <c r="C16" s="44">
        <f>B16</f>
        <v>816.83090000000004</v>
      </c>
      <c r="D16" s="31">
        <f>C16</f>
        <v>816.83090000000004</v>
      </c>
      <c r="E16" s="7"/>
      <c r="F16" s="7"/>
    </row>
    <row r="17" spans="1:10" s="6" customFormat="1" ht="24.75" customHeight="1" x14ac:dyDescent="0.25">
      <c r="A17" s="8" t="s">
        <v>79</v>
      </c>
      <c r="B17" s="30">
        <f>ROUND(B16*0.18,5)</f>
        <v>147.02956</v>
      </c>
      <c r="C17" s="44">
        <f>B17</f>
        <v>147.02956</v>
      </c>
      <c r="D17" s="31">
        <f>C17</f>
        <v>147.02956</v>
      </c>
      <c r="E17" s="7"/>
      <c r="F17" s="7"/>
    </row>
    <row r="18" spans="1:10" s="6" customFormat="1" ht="30" customHeight="1" x14ac:dyDescent="0.25">
      <c r="A18" s="8" t="s">
        <v>10</v>
      </c>
      <c r="B18" s="30">
        <f>ROUND(B16+B17,5)</f>
        <v>963.86045999999999</v>
      </c>
      <c r="C18" s="44">
        <f>ROUND(C16+C17,5)</f>
        <v>963.86045999999999</v>
      </c>
      <c r="D18" s="173">
        <f>C18</f>
        <v>963.86045999999999</v>
      </c>
      <c r="E18" s="7"/>
      <c r="F18" s="7"/>
    </row>
    <row r="19" spans="1:10" s="6" customFormat="1" ht="30" customHeight="1" x14ac:dyDescent="0.2">
      <c r="A19" s="200" t="s">
        <v>81</v>
      </c>
      <c r="B19" s="201"/>
      <c r="C19" s="201"/>
      <c r="D19" s="202"/>
      <c r="E19" s="7"/>
      <c r="F19" s="7"/>
    </row>
    <row r="20" spans="1:10" s="6" customFormat="1" ht="28.5" customHeight="1" x14ac:dyDescent="0.25">
      <c r="A20" s="8" t="s">
        <v>42</v>
      </c>
      <c r="B20" s="30">
        <f>ROUND((B22+B23)*0.05,5)</f>
        <v>27.79731</v>
      </c>
      <c r="C20" s="84">
        <f t="shared" ref="C20:D20" si="2">B20</f>
        <v>27.79731</v>
      </c>
      <c r="D20" s="84">
        <f t="shared" si="2"/>
        <v>27.79731</v>
      </c>
      <c r="E20" s="7"/>
      <c r="F20" s="7"/>
    </row>
    <row r="21" spans="1:10" s="6" customFormat="1" ht="27.75" customHeight="1" x14ac:dyDescent="0.25">
      <c r="A21" s="8" t="s">
        <v>74</v>
      </c>
      <c r="B21" s="30">
        <f>'обследование научно-иссл.№2'!G15/1000</f>
        <v>325.30291999999997</v>
      </c>
      <c r="C21" s="84">
        <f t="shared" ref="C21:D23" si="3">B21</f>
        <v>325.30291999999997</v>
      </c>
      <c r="D21" s="31">
        <f t="shared" si="3"/>
        <v>325.30291999999997</v>
      </c>
      <c r="E21" s="9"/>
      <c r="F21" s="9"/>
      <c r="G21" s="10"/>
      <c r="H21" s="11"/>
    </row>
    <row r="22" spans="1:10" s="6" customFormat="1" ht="27.75" customHeight="1" x14ac:dyDescent="0.25">
      <c r="A22" s="8" t="s">
        <v>56</v>
      </c>
      <c r="B22" s="30">
        <f>'Проект+РД №2'!F14/1000</f>
        <v>260.07540999999998</v>
      </c>
      <c r="C22" s="84">
        <f>B22</f>
        <v>260.07540999999998</v>
      </c>
      <c r="D22" s="31">
        <f t="shared" si="3"/>
        <v>260.07540999999998</v>
      </c>
      <c r="E22" s="9"/>
      <c r="F22" s="9"/>
      <c r="G22" s="10"/>
      <c r="H22" s="11"/>
    </row>
    <row r="23" spans="1:10" s="6" customFormat="1" ht="27.75" customHeight="1" x14ac:dyDescent="0.25">
      <c r="A23" s="8" t="s">
        <v>57</v>
      </c>
      <c r="B23" s="30">
        <f>'Проект+РД №2'!F20/1000</f>
        <v>295.87088</v>
      </c>
      <c r="C23" s="84">
        <f>B23</f>
        <v>295.87088</v>
      </c>
      <c r="D23" s="31">
        <f t="shared" si="3"/>
        <v>295.87088</v>
      </c>
      <c r="E23" s="9"/>
      <c r="F23" s="9"/>
      <c r="G23" s="10"/>
      <c r="H23" s="11"/>
    </row>
    <row r="24" spans="1:10" s="15" customFormat="1" ht="23.25" customHeight="1" x14ac:dyDescent="0.25">
      <c r="A24" s="8" t="s">
        <v>3</v>
      </c>
      <c r="B24" s="30">
        <f>ROUND(SUM(B20:B23),5)</f>
        <v>909.04651999999999</v>
      </c>
      <c r="C24" s="44">
        <f>B24</f>
        <v>909.04651999999999</v>
      </c>
      <c r="D24" s="31">
        <f>C24</f>
        <v>909.04651999999999</v>
      </c>
      <c r="E24" s="16"/>
      <c r="F24" s="13"/>
      <c r="G24" s="14"/>
      <c r="H24" s="14"/>
      <c r="I24" s="17"/>
      <c r="J24" s="12"/>
    </row>
    <row r="25" spans="1:10" s="15" customFormat="1" ht="24.75" customHeight="1" x14ac:dyDescent="0.25">
      <c r="A25" s="8" t="s">
        <v>78</v>
      </c>
      <c r="B25" s="30"/>
      <c r="C25" s="44"/>
      <c r="D25" s="31"/>
    </row>
    <row r="26" spans="1:10" s="15" customFormat="1" ht="30" customHeight="1" x14ac:dyDescent="0.25">
      <c r="A26" s="8" t="s">
        <v>10</v>
      </c>
      <c r="B26" s="30">
        <f>ROUND(B24+B25,5)</f>
        <v>909.04651999999999</v>
      </c>
      <c r="C26" s="44">
        <f>ROUND(C24+C25,5)</f>
        <v>909.04651999999999</v>
      </c>
      <c r="D26" s="173">
        <f>ROUND(D24+D25,5)</f>
        <v>909.04651999999999</v>
      </c>
    </row>
    <row r="27" spans="1:10" s="15" customFormat="1" ht="30" customHeight="1" x14ac:dyDescent="0.2">
      <c r="A27" s="48" t="s">
        <v>134</v>
      </c>
      <c r="B27" s="48"/>
      <c r="C27" s="48"/>
      <c r="D27" s="172">
        <f>ROUND(D18+D26,5)</f>
        <v>1872.90698</v>
      </c>
    </row>
    <row r="28" spans="1:10" s="15" customFormat="1" x14ac:dyDescent="0.2"/>
    <row r="29" spans="1:10" s="15" customFormat="1" ht="25.5" customHeight="1" x14ac:dyDescent="0.3">
      <c r="A29" s="205" t="s">
        <v>58</v>
      </c>
      <c r="B29" s="205"/>
      <c r="C29" s="42"/>
      <c r="D29" s="41"/>
    </row>
    <row r="30" spans="1:10" s="6" customFormat="1" x14ac:dyDescent="0.3">
      <c r="A30" s="32" t="s">
        <v>155</v>
      </c>
      <c r="B30" s="18"/>
      <c r="C30" s="46"/>
      <c r="E30" s="12"/>
      <c r="F30" s="29"/>
    </row>
    <row r="31" spans="1:10" s="6" customFormat="1" x14ac:dyDescent="0.3">
      <c r="A31" s="18"/>
      <c r="B31" s="18"/>
      <c r="C31" s="18"/>
      <c r="F31" s="33"/>
    </row>
    <row r="32" spans="1:10" s="6" customFormat="1" x14ac:dyDescent="0.2">
      <c r="A32" s="206"/>
      <c r="B32" s="206"/>
      <c r="C32" s="36"/>
    </row>
    <row r="33" spans="1:9" s="6" customFormat="1" ht="74.25" customHeight="1" x14ac:dyDescent="0.2">
      <c r="A33" s="206" t="s">
        <v>11</v>
      </c>
      <c r="B33" s="206"/>
      <c r="C33" s="206"/>
      <c r="D33" s="206"/>
      <c r="H33" s="12"/>
      <c r="I33" s="12"/>
    </row>
    <row r="34" spans="1:9" s="6" customFormat="1" ht="134.25" customHeight="1" x14ac:dyDescent="0.2">
      <c r="A34" s="206" t="s">
        <v>12</v>
      </c>
      <c r="B34" s="206"/>
      <c r="C34" s="206"/>
      <c r="D34" s="206"/>
    </row>
    <row r="35" spans="1:9" s="6" customFormat="1" ht="18.75" hidden="1" customHeight="1" x14ac:dyDescent="0.2">
      <c r="A35" s="33"/>
      <c r="B35" s="47"/>
      <c r="C35" s="37"/>
    </row>
    <row r="36" spans="1:9" s="6" customFormat="1" hidden="1" x14ac:dyDescent="0.2">
      <c r="A36" s="36" t="s">
        <v>28</v>
      </c>
      <c r="B36" s="37"/>
      <c r="C36" s="37"/>
    </row>
    <row r="37" spans="1:9" s="6" customFormat="1" hidden="1" x14ac:dyDescent="0.2">
      <c r="A37" s="36" t="s">
        <v>29</v>
      </c>
      <c r="B37" s="37"/>
      <c r="C37" s="37"/>
    </row>
    <row r="38" spans="1:9" s="6" customFormat="1" x14ac:dyDescent="0.2">
      <c r="A38" s="36"/>
      <c r="B38" s="37"/>
      <c r="C38" s="37"/>
    </row>
    <row r="39" spans="1:9" s="6" customFormat="1" ht="56.25" customHeight="1" x14ac:dyDescent="0.2">
      <c r="A39" s="204" t="s">
        <v>153</v>
      </c>
      <c r="B39" s="204"/>
      <c r="C39" s="38"/>
      <c r="D39" s="19"/>
    </row>
    <row r="40" spans="1:9" ht="20.25" x14ac:dyDescent="0.3">
      <c r="A40" s="2"/>
      <c r="B40" s="34"/>
      <c r="C40" s="39"/>
      <c r="D40" s="34"/>
      <c r="E40" s="43"/>
    </row>
    <row r="41" spans="1:9" ht="40.5" customHeight="1" x14ac:dyDescent="0.3">
      <c r="A41" s="34" t="s">
        <v>38</v>
      </c>
      <c r="B41" s="34"/>
      <c r="C41" s="39"/>
      <c r="D41" s="34"/>
      <c r="E41" s="34"/>
    </row>
    <row r="42" spans="1:9" ht="42.75" customHeight="1" x14ac:dyDescent="0.3">
      <c r="A42" s="177" t="s">
        <v>145</v>
      </c>
      <c r="B42" s="82"/>
      <c r="C42" s="82"/>
      <c r="D42" s="82"/>
      <c r="E42" s="82"/>
      <c r="F42" s="82"/>
    </row>
    <row r="43" spans="1:9" ht="30" customHeight="1" x14ac:dyDescent="0.3">
      <c r="A43" s="203" t="s">
        <v>150</v>
      </c>
      <c r="B43" s="203"/>
      <c r="C43" s="203"/>
      <c r="D43" s="203"/>
      <c r="E43" s="26"/>
      <c r="F43" s="23"/>
    </row>
  </sheetData>
  <mergeCells count="15">
    <mergeCell ref="A11:D11"/>
    <mergeCell ref="A19:D19"/>
    <mergeCell ref="A43:D43"/>
    <mergeCell ref="A39:B39"/>
    <mergeCell ref="A29:B29"/>
    <mergeCell ref="A32:B32"/>
    <mergeCell ref="A33:D33"/>
    <mergeCell ref="A34:D34"/>
    <mergeCell ref="A1:D1"/>
    <mergeCell ref="A2:D2"/>
    <mergeCell ref="A3:D3"/>
    <mergeCell ref="A7:A10"/>
    <mergeCell ref="B7:B10"/>
    <mergeCell ref="D7:D10"/>
    <mergeCell ref="C7:C10"/>
  </mergeCells>
  <pageMargins left="0.7" right="0.7" top="0.4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16" workbookViewId="0">
      <selection activeCell="G22" sqref="G22"/>
    </sheetView>
  </sheetViews>
  <sheetFormatPr defaultRowHeight="18.75" x14ac:dyDescent="0.3"/>
  <cols>
    <col min="1" max="1" width="5.85546875" style="156" customWidth="1"/>
    <col min="2" max="2" width="31.28515625" style="76" customWidth="1"/>
    <col min="3" max="3" width="43.28515625" style="76" customWidth="1"/>
    <col min="4" max="4" width="26.42578125" style="76" customWidth="1"/>
    <col min="5" max="5" width="34.140625" style="76" customWidth="1"/>
    <col min="6" max="6" width="10.5703125" style="76" customWidth="1"/>
    <col min="7" max="7" width="31" style="76" customWidth="1"/>
    <col min="8" max="8" width="21.28515625" style="76" customWidth="1"/>
    <col min="9" max="9" width="36" style="76" customWidth="1"/>
    <col min="10" max="10" width="9.140625" style="76"/>
    <col min="11" max="11" width="14.7109375" style="76" customWidth="1"/>
    <col min="12" max="12" width="16" style="76" bestFit="1" customWidth="1"/>
    <col min="13" max="16384" width="9.140625" style="76"/>
  </cols>
  <sheetData>
    <row r="1" spans="1:10" x14ac:dyDescent="0.3">
      <c r="A1" s="49"/>
      <c r="B1" s="52"/>
      <c r="C1" s="53"/>
      <c r="D1" s="53"/>
      <c r="E1" s="54"/>
      <c r="F1" s="55"/>
      <c r="G1" s="53"/>
    </row>
    <row r="2" spans="1:10" x14ac:dyDescent="0.3">
      <c r="A2" s="56"/>
      <c r="B2" s="53"/>
      <c r="C2" s="53"/>
      <c r="D2" s="53"/>
      <c r="E2" s="57"/>
      <c r="F2" s="55"/>
      <c r="G2" s="53"/>
      <c r="J2" s="58"/>
    </row>
    <row r="3" spans="1:10" x14ac:dyDescent="0.3">
      <c r="A3" s="56"/>
      <c r="B3" s="53"/>
      <c r="C3" s="53"/>
      <c r="D3" s="53"/>
      <c r="E3" s="57"/>
      <c r="F3" s="53"/>
      <c r="G3" s="53"/>
      <c r="J3" s="58"/>
    </row>
    <row r="4" spans="1:10" ht="80.25" customHeight="1" x14ac:dyDescent="0.3">
      <c r="A4" s="208" t="s">
        <v>147</v>
      </c>
      <c r="B4" s="208"/>
      <c r="C4" s="208"/>
      <c r="D4" s="208"/>
      <c r="E4" s="208"/>
      <c r="F4" s="208"/>
      <c r="G4" s="208"/>
      <c r="H4" s="51"/>
    </row>
    <row r="5" spans="1:10" ht="37.5" x14ac:dyDescent="0.3">
      <c r="A5" s="59" t="s">
        <v>4</v>
      </c>
      <c r="B5" s="60" t="s">
        <v>0</v>
      </c>
      <c r="C5" s="60" t="s">
        <v>1</v>
      </c>
      <c r="D5" s="60" t="s">
        <v>32</v>
      </c>
      <c r="E5" s="80" t="s">
        <v>14</v>
      </c>
      <c r="F5" s="60" t="s">
        <v>33</v>
      </c>
      <c r="G5" s="60" t="s">
        <v>2</v>
      </c>
      <c r="H5" s="61"/>
      <c r="I5" s="62"/>
    </row>
    <row r="6" spans="1:10" x14ac:dyDescent="0.3">
      <c r="A6" s="63" t="s">
        <v>8</v>
      </c>
      <c r="B6" s="64">
        <v>2</v>
      </c>
      <c r="C6" s="64">
        <v>3</v>
      </c>
      <c r="D6" s="64">
        <v>4</v>
      </c>
      <c r="E6" s="79">
        <v>5</v>
      </c>
      <c r="F6" s="64">
        <v>6</v>
      </c>
      <c r="G6" s="64">
        <v>7</v>
      </c>
      <c r="H6" s="40"/>
      <c r="I6" s="62"/>
    </row>
    <row r="7" spans="1:10" ht="18.75" customHeight="1" x14ac:dyDescent="0.3">
      <c r="A7" s="209"/>
      <c r="B7" s="210"/>
      <c r="C7" s="210"/>
      <c r="D7" s="210"/>
      <c r="E7" s="210"/>
      <c r="F7" s="210"/>
      <c r="G7" s="211"/>
      <c r="H7" s="40"/>
      <c r="I7" s="62"/>
    </row>
    <row r="8" spans="1:10" s="67" customFormat="1" ht="19.5" x14ac:dyDescent="0.2">
      <c r="A8" s="65"/>
      <c r="B8" s="212" t="s">
        <v>121</v>
      </c>
      <c r="C8" s="213"/>
      <c r="D8" s="213"/>
      <c r="E8" s="213"/>
      <c r="F8" s="213"/>
      <c r="G8" s="214"/>
      <c r="H8" s="66"/>
      <c r="I8" s="6"/>
    </row>
    <row r="9" spans="1:10" s="67" customFormat="1" ht="161.25" customHeight="1" x14ac:dyDescent="0.2">
      <c r="A9" s="65">
        <v>1</v>
      </c>
      <c r="B9" s="160" t="s">
        <v>122</v>
      </c>
      <c r="C9" s="161" t="s">
        <v>135</v>
      </c>
      <c r="D9" s="162" t="s">
        <v>90</v>
      </c>
      <c r="E9" s="175" t="s">
        <v>136</v>
      </c>
      <c r="F9" s="164">
        <v>29.408999999999999</v>
      </c>
      <c r="G9" s="165">
        <f>ROUND(310.99*0.939*1.1*1.8*1.15*F9,2)</f>
        <v>19554.89</v>
      </c>
      <c r="H9" s="66"/>
      <c r="I9" s="6"/>
    </row>
    <row r="10" spans="1:10" s="67" customFormat="1" ht="121.5" customHeight="1" x14ac:dyDescent="0.2">
      <c r="A10" s="65">
        <v>2</v>
      </c>
      <c r="B10" s="160" t="s">
        <v>123</v>
      </c>
      <c r="C10" s="161" t="s">
        <v>137</v>
      </c>
      <c r="D10" s="162" t="s">
        <v>90</v>
      </c>
      <c r="E10" s="175" t="s">
        <v>138</v>
      </c>
      <c r="F10" s="164">
        <v>29.408999999999999</v>
      </c>
      <c r="G10" s="165">
        <f>ROUND(396.67*0.874*1.1 *1.8*F10,2)</f>
        <v>20187.669999999998</v>
      </c>
      <c r="H10" s="66"/>
      <c r="I10" s="6"/>
    </row>
    <row r="11" spans="1:10" s="67" customFormat="1" ht="90" customHeight="1" x14ac:dyDescent="0.2">
      <c r="A11" s="65">
        <v>3</v>
      </c>
      <c r="B11" s="161" t="s">
        <v>91</v>
      </c>
      <c r="C11" s="161" t="s">
        <v>92</v>
      </c>
      <c r="D11" s="162" t="s">
        <v>93</v>
      </c>
      <c r="E11" s="163" t="s">
        <v>94</v>
      </c>
      <c r="F11" s="164">
        <v>6.9470000000000001</v>
      </c>
      <c r="G11" s="166">
        <f>ROUND(94.46*1.2*  1.1*1.8*F11,2)</f>
        <v>1559.16</v>
      </c>
      <c r="H11" s="66"/>
      <c r="I11" s="6"/>
    </row>
    <row r="12" spans="1:10" s="67" customFormat="1" ht="99.75" customHeight="1" x14ac:dyDescent="0.2">
      <c r="A12" s="68">
        <v>4</v>
      </c>
      <c r="B12" s="161" t="s">
        <v>95</v>
      </c>
      <c r="C12" s="161" t="s">
        <v>96</v>
      </c>
      <c r="D12" s="160" t="s">
        <v>97</v>
      </c>
      <c r="E12" s="163" t="s">
        <v>124</v>
      </c>
      <c r="F12" s="162">
        <v>6</v>
      </c>
      <c r="G12" s="166">
        <f>ROUND(72.45*   1.1*F12,2)</f>
        <v>478.17</v>
      </c>
      <c r="H12" s="66"/>
      <c r="I12" s="6"/>
    </row>
    <row r="13" spans="1:10" s="67" customFormat="1" ht="83.25" customHeight="1" x14ac:dyDescent="0.2">
      <c r="A13" s="68">
        <v>5</v>
      </c>
      <c r="B13" s="161" t="s">
        <v>98</v>
      </c>
      <c r="C13" s="161" t="s">
        <v>99</v>
      </c>
      <c r="D13" s="160" t="s">
        <v>97</v>
      </c>
      <c r="E13" s="163" t="s">
        <v>125</v>
      </c>
      <c r="F13" s="162">
        <v>6</v>
      </c>
      <c r="G13" s="166">
        <f>ROUND(96.08*1.8*   1.1*F13,2)</f>
        <v>1141.43</v>
      </c>
      <c r="H13" s="66"/>
      <c r="I13" s="6"/>
    </row>
    <row r="14" spans="1:10" s="67" customFormat="1" ht="93" customHeight="1" x14ac:dyDescent="0.2">
      <c r="A14" s="65">
        <v>6</v>
      </c>
      <c r="B14" s="161" t="s">
        <v>100</v>
      </c>
      <c r="C14" s="161" t="s">
        <v>101</v>
      </c>
      <c r="D14" s="160" t="s">
        <v>102</v>
      </c>
      <c r="E14" s="163" t="s">
        <v>126</v>
      </c>
      <c r="F14" s="162">
        <v>5</v>
      </c>
      <c r="G14" s="166">
        <f>ROUND(110.88*1.1*1.8*F14,2)</f>
        <v>1097.71</v>
      </c>
      <c r="H14" s="66"/>
      <c r="I14" s="6"/>
    </row>
    <row r="15" spans="1:10" s="67" customFormat="1" ht="74.25" customHeight="1" x14ac:dyDescent="0.2">
      <c r="A15" s="65">
        <v>7</v>
      </c>
      <c r="B15" s="161" t="s">
        <v>103</v>
      </c>
      <c r="C15" s="161" t="s">
        <v>104</v>
      </c>
      <c r="D15" s="160" t="s">
        <v>102</v>
      </c>
      <c r="E15" s="163" t="s">
        <v>127</v>
      </c>
      <c r="F15" s="162">
        <v>5</v>
      </c>
      <c r="G15" s="167">
        <f>ROUND(145.09*1.1*1.8*F15,2)</f>
        <v>1436.39</v>
      </c>
      <c r="H15" s="66"/>
      <c r="I15" s="6"/>
    </row>
    <row r="16" spans="1:10" s="67" customFormat="1" ht="121.5" customHeight="1" x14ac:dyDescent="0.2">
      <c r="A16" s="65">
        <v>8</v>
      </c>
      <c r="B16" s="161" t="s">
        <v>105</v>
      </c>
      <c r="C16" s="161" t="s">
        <v>106</v>
      </c>
      <c r="D16" s="160" t="s">
        <v>107</v>
      </c>
      <c r="E16" s="163" t="s">
        <v>108</v>
      </c>
      <c r="F16" s="162">
        <v>6</v>
      </c>
      <c r="G16" s="166">
        <f>ROUND(360.69*1.2*1.8*  1.1*F16,2)</f>
        <v>5142</v>
      </c>
      <c r="H16" s="66"/>
      <c r="I16" s="6"/>
    </row>
    <row r="17" spans="1:9" s="67" customFormat="1" ht="74.25" customHeight="1" x14ac:dyDescent="0.2">
      <c r="A17" s="65">
        <v>9</v>
      </c>
      <c r="B17" s="161" t="s">
        <v>109</v>
      </c>
      <c r="C17" s="161" t="s">
        <v>110</v>
      </c>
      <c r="D17" s="160" t="s">
        <v>111</v>
      </c>
      <c r="E17" s="163" t="s">
        <v>128</v>
      </c>
      <c r="F17" s="162">
        <v>4</v>
      </c>
      <c r="G17" s="166">
        <f>ROUND(89.44*1.1*1.8*F17,2)</f>
        <v>708.36</v>
      </c>
      <c r="H17" s="66"/>
      <c r="I17" s="6"/>
    </row>
    <row r="18" spans="1:9" s="67" customFormat="1" ht="84" customHeight="1" x14ac:dyDescent="0.2">
      <c r="A18" s="72">
        <v>10</v>
      </c>
      <c r="B18" s="160" t="s">
        <v>17</v>
      </c>
      <c r="C18" s="160" t="s">
        <v>112</v>
      </c>
      <c r="D18" s="160" t="s">
        <v>113</v>
      </c>
      <c r="E18" s="163" t="s">
        <v>129</v>
      </c>
      <c r="F18" s="162">
        <v>25</v>
      </c>
      <c r="G18" s="166">
        <f>ROUND(143.24*  1.1*1.8*F18,2)</f>
        <v>7090.38</v>
      </c>
      <c r="H18" s="66"/>
      <c r="I18" s="6"/>
    </row>
    <row r="19" spans="1:9" s="67" customFormat="1" ht="74.25" customHeight="1" x14ac:dyDescent="0.2">
      <c r="A19" s="65">
        <v>11</v>
      </c>
      <c r="B19" s="160" t="s">
        <v>18</v>
      </c>
      <c r="C19" s="160" t="s">
        <v>114</v>
      </c>
      <c r="D19" s="160" t="s">
        <v>115</v>
      </c>
      <c r="E19" s="163" t="s">
        <v>116</v>
      </c>
      <c r="F19" s="162">
        <v>4</v>
      </c>
      <c r="G19" s="166">
        <f>ROUND(251.8*   1.1*F19,2)</f>
        <v>1107.92</v>
      </c>
      <c r="H19" s="66"/>
      <c r="I19" s="6"/>
    </row>
    <row r="20" spans="1:9" s="67" customFormat="1" ht="69" customHeight="1" x14ac:dyDescent="0.2">
      <c r="A20" s="72">
        <v>12</v>
      </c>
      <c r="B20" s="69" t="s">
        <v>117</v>
      </c>
      <c r="C20" s="69" t="s">
        <v>118</v>
      </c>
      <c r="D20" s="48" t="s">
        <v>119</v>
      </c>
      <c r="E20" s="168">
        <v>1245</v>
      </c>
      <c r="F20" s="169">
        <v>4</v>
      </c>
      <c r="G20" s="166">
        <f>ROUND(E20*F20,2)</f>
        <v>4980</v>
      </c>
      <c r="H20" s="66"/>
      <c r="I20" s="6"/>
    </row>
    <row r="21" spans="1:9" s="67" customFormat="1" ht="19.5" x14ac:dyDescent="0.2">
      <c r="A21" s="72"/>
      <c r="B21" s="215" t="s">
        <v>31</v>
      </c>
      <c r="C21" s="215"/>
      <c r="D21" s="215"/>
      <c r="E21" s="215"/>
      <c r="F21" s="215"/>
      <c r="G21" s="73">
        <f>ROUND(SUM(G9:G20),2)</f>
        <v>64484.08</v>
      </c>
      <c r="H21" s="66"/>
      <c r="I21" s="6"/>
    </row>
    <row r="22" spans="1:9" s="67" customFormat="1" ht="19.5" x14ac:dyDescent="0.2">
      <c r="A22" s="72"/>
      <c r="B22" s="216" t="s">
        <v>152</v>
      </c>
      <c r="C22" s="216" t="s">
        <v>15</v>
      </c>
      <c r="D22" s="216"/>
      <c r="E22" s="216"/>
      <c r="F22" s="216"/>
      <c r="G22" s="73">
        <f>ROUND(G21*3.63,2)</f>
        <v>234077.21</v>
      </c>
      <c r="H22" s="66"/>
      <c r="I22" s="6"/>
    </row>
    <row r="23" spans="1:9" s="67" customFormat="1" ht="19.5" x14ac:dyDescent="0.2">
      <c r="A23" s="72"/>
      <c r="B23" s="153" t="s">
        <v>120</v>
      </c>
      <c r="C23" s="154"/>
      <c r="D23" s="154"/>
      <c r="E23" s="154"/>
      <c r="F23" s="154"/>
      <c r="G23" s="73">
        <f>G22*0.18</f>
        <v>42133.897799999999</v>
      </c>
      <c r="H23" s="66"/>
      <c r="I23" s="6"/>
    </row>
    <row r="24" spans="1:9" s="67" customFormat="1" ht="19.5" x14ac:dyDescent="0.2">
      <c r="A24" s="170"/>
      <c r="B24" s="171"/>
      <c r="C24" s="171"/>
      <c r="D24" s="171"/>
      <c r="E24" s="171"/>
      <c r="F24" s="171"/>
      <c r="G24" s="73">
        <f>G22+G23</f>
        <v>276211.1078</v>
      </c>
      <c r="H24" s="66"/>
      <c r="I24" s="6"/>
    </row>
    <row r="25" spans="1:9" s="67" customFormat="1" ht="19.5" x14ac:dyDescent="0.2">
      <c r="A25" s="77"/>
      <c r="B25" s="78"/>
      <c r="C25" s="78"/>
      <c r="D25" s="78"/>
      <c r="E25" s="78"/>
      <c r="F25" s="78"/>
      <c r="G25" s="78"/>
      <c r="H25" s="66"/>
      <c r="I25" s="6"/>
    </row>
    <row r="26" spans="1:9" s="67" customFormat="1" ht="19.5" x14ac:dyDescent="0.2">
      <c r="A26" s="77"/>
      <c r="B26" s="78"/>
      <c r="C26" s="78"/>
      <c r="D26" s="78"/>
      <c r="E26" s="78"/>
      <c r="F26" s="78"/>
      <c r="G26" s="78"/>
      <c r="H26" s="66"/>
      <c r="I26" s="6"/>
    </row>
    <row r="27" spans="1:9" s="67" customFormat="1" ht="19.5" x14ac:dyDescent="0.2">
      <c r="A27" s="77"/>
      <c r="B27" s="78"/>
      <c r="C27" s="78"/>
      <c r="D27" s="78"/>
      <c r="E27" s="78"/>
      <c r="F27" s="78"/>
      <c r="G27" s="78"/>
      <c r="H27" s="66"/>
      <c r="I27" s="6"/>
    </row>
    <row r="28" spans="1:9" s="67" customFormat="1" ht="19.5" x14ac:dyDescent="0.2">
      <c r="A28" s="77"/>
      <c r="B28" s="78"/>
      <c r="C28" s="78"/>
      <c r="D28" s="78"/>
      <c r="E28" s="78"/>
      <c r="F28" s="78"/>
      <c r="G28" s="78"/>
      <c r="H28" s="66"/>
      <c r="I28" s="6"/>
    </row>
    <row r="29" spans="1:9" x14ac:dyDescent="0.3">
      <c r="H29" s="53"/>
      <c r="I29" s="53"/>
    </row>
    <row r="30" spans="1:9" x14ac:dyDescent="0.3">
      <c r="A30" s="74" t="s">
        <v>35</v>
      </c>
      <c r="B30" s="3"/>
      <c r="C30" s="3"/>
      <c r="G30" s="58"/>
      <c r="H30" s="53"/>
      <c r="I30" s="53"/>
    </row>
    <row r="31" spans="1:9" x14ac:dyDescent="0.3">
      <c r="A31" s="74"/>
      <c r="B31" s="3"/>
      <c r="C31" s="3"/>
      <c r="G31" s="58"/>
      <c r="H31" s="53"/>
      <c r="I31" s="53"/>
    </row>
    <row r="32" spans="1:9" x14ac:dyDescent="0.3">
      <c r="A32" s="207" t="s">
        <v>36</v>
      </c>
      <c r="B32" s="207"/>
      <c r="C32" s="207"/>
      <c r="D32" s="207"/>
      <c r="H32" s="53"/>
      <c r="I32" s="53"/>
    </row>
    <row r="33" spans="1:1" x14ac:dyDescent="0.3">
      <c r="A33" s="155"/>
    </row>
  </sheetData>
  <mergeCells count="6">
    <mergeCell ref="A32:D32"/>
    <mergeCell ref="A4:G4"/>
    <mergeCell ref="A7:G7"/>
    <mergeCell ref="B8:G8"/>
    <mergeCell ref="B21:F21"/>
    <mergeCell ref="B22:F22"/>
  </mergeCell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B19" zoomScaleNormal="100" workbookViewId="0">
      <selection activeCell="F20" sqref="F20"/>
    </sheetView>
  </sheetViews>
  <sheetFormatPr defaultColWidth="9.140625" defaultRowHeight="15.75" x14ac:dyDescent="0.25"/>
  <cols>
    <col min="1" max="1" width="5.5703125" style="141" customWidth="1"/>
    <col min="2" max="2" width="53.5703125" style="83" customWidth="1"/>
    <col min="3" max="3" width="56.7109375" style="83" customWidth="1"/>
    <col min="4" max="4" width="35.7109375" style="87" customWidth="1"/>
    <col min="5" max="5" width="0.28515625" style="87" hidden="1" customWidth="1"/>
    <col min="6" max="6" width="25" style="88" customWidth="1"/>
    <col min="7" max="7" width="21.5703125" style="81" customWidth="1"/>
    <col min="8" max="8" width="18.140625" style="81" hidden="1" customWidth="1"/>
    <col min="9" max="9" width="19.5703125" style="81" customWidth="1"/>
    <col min="10" max="10" width="20.28515625" style="81" customWidth="1"/>
    <col min="11" max="11" width="5" style="81" customWidth="1"/>
    <col min="12" max="12" width="7.28515625" style="81" customWidth="1"/>
    <col min="13" max="16384" width="9.140625" style="81"/>
  </cols>
  <sheetData>
    <row r="1" spans="1:13" x14ac:dyDescent="0.25">
      <c r="A1" s="85"/>
      <c r="D1" s="86"/>
    </row>
    <row r="2" spans="1:13" x14ac:dyDescent="0.25">
      <c r="A2" s="89"/>
      <c r="B2" s="81"/>
      <c r="D2" s="90"/>
      <c r="E2" s="91"/>
      <c r="F2" s="92"/>
    </row>
    <row r="3" spans="1:13" x14ac:dyDescent="0.25">
      <c r="A3" s="89"/>
      <c r="B3" s="81"/>
      <c r="D3" s="86"/>
      <c r="E3" s="91"/>
      <c r="F3" s="92"/>
    </row>
    <row r="4" spans="1:13" x14ac:dyDescent="0.25">
      <c r="A4" s="89"/>
      <c r="H4" s="93"/>
      <c r="I4" s="94"/>
      <c r="J4" s="93"/>
      <c r="K4" s="93"/>
    </row>
    <row r="5" spans="1:13" ht="58.5" customHeight="1" thickBot="1" x14ac:dyDescent="0.3">
      <c r="A5" s="218" t="s">
        <v>147</v>
      </c>
      <c r="B5" s="219"/>
      <c r="C5" s="219"/>
      <c r="D5" s="219"/>
      <c r="E5" s="219"/>
      <c r="F5" s="219"/>
      <c r="H5" s="95"/>
      <c r="I5" s="95"/>
      <c r="J5" s="95"/>
      <c r="K5" s="95"/>
    </row>
    <row r="6" spans="1:13" ht="16.5" thickBot="1" x14ac:dyDescent="0.3">
      <c r="A6" s="220" t="s">
        <v>130</v>
      </c>
      <c r="B6" s="221"/>
      <c r="C6" s="221"/>
      <c r="D6" s="221"/>
      <c r="E6" s="221"/>
      <c r="F6" s="222"/>
      <c r="G6" s="96"/>
      <c r="H6" s="97"/>
      <c r="I6" s="97"/>
      <c r="J6" s="97"/>
    </row>
    <row r="7" spans="1:13" ht="36" customHeight="1" thickBot="1" x14ac:dyDescent="0.3">
      <c r="A7" s="98" t="s">
        <v>4</v>
      </c>
      <c r="B7" s="99" t="s">
        <v>0</v>
      </c>
      <c r="C7" s="99" t="s">
        <v>1</v>
      </c>
      <c r="D7" s="99" t="s">
        <v>14</v>
      </c>
      <c r="E7" s="99" t="s">
        <v>45</v>
      </c>
      <c r="F7" s="99" t="s">
        <v>2</v>
      </c>
      <c r="G7" s="100"/>
      <c r="H7" s="101"/>
      <c r="I7" s="102"/>
      <c r="J7" s="103"/>
      <c r="K7" s="103"/>
      <c r="L7" s="93"/>
    </row>
    <row r="8" spans="1:13" ht="16.5" thickBot="1" x14ac:dyDescent="0.3">
      <c r="A8" s="98"/>
      <c r="B8" s="223" t="s">
        <v>46</v>
      </c>
      <c r="C8" s="224"/>
      <c r="D8" s="224"/>
      <c r="E8" s="224"/>
      <c r="F8" s="225"/>
      <c r="G8" s="100"/>
      <c r="H8" s="101"/>
      <c r="I8" s="103"/>
      <c r="J8" s="103"/>
      <c r="K8" s="103"/>
      <c r="L8" s="93"/>
    </row>
    <row r="9" spans="1:13" ht="150" customHeight="1" thickBot="1" x14ac:dyDescent="0.3">
      <c r="A9" s="104" t="s">
        <v>8</v>
      </c>
      <c r="B9" s="105" t="s">
        <v>131</v>
      </c>
      <c r="C9" s="107" t="s">
        <v>132</v>
      </c>
      <c r="D9" s="108" t="s">
        <v>133</v>
      </c>
      <c r="E9" s="106"/>
      <c r="F9" s="108">
        <f>ROUND((69+1.52*694.7)*0.15*0.4*1000,2)</f>
        <v>67496.639999999999</v>
      </c>
      <c r="G9" s="109">
        <f xml:space="preserve"> (24.6*0.01+26.7*0.01+5.7/2+2.1+3+5.6)/100</f>
        <v>0.14063000000000001</v>
      </c>
      <c r="H9" s="97"/>
      <c r="I9" s="110"/>
      <c r="J9" s="111"/>
    </row>
    <row r="10" spans="1:13" ht="189" customHeight="1" thickBot="1" x14ac:dyDescent="0.3">
      <c r="A10" s="104" t="s">
        <v>5</v>
      </c>
      <c r="B10" s="105" t="s">
        <v>47</v>
      </c>
      <c r="C10" s="116" t="s">
        <v>48</v>
      </c>
      <c r="D10" s="112" t="s">
        <v>49</v>
      </c>
      <c r="E10" s="117" t="s">
        <v>49</v>
      </c>
      <c r="F10" s="108">
        <f>ROUND((1860+1648+439),2)</f>
        <v>3947</v>
      </c>
      <c r="I10" s="115"/>
      <c r="J10" s="115"/>
    </row>
    <row r="11" spans="1:13" ht="123.75" customHeight="1" thickBot="1" x14ac:dyDescent="0.3">
      <c r="A11" s="104" t="s">
        <v>6</v>
      </c>
      <c r="B11" s="105" t="s">
        <v>50</v>
      </c>
      <c r="C11" s="116" t="s">
        <v>85</v>
      </c>
      <c r="D11" s="159" t="s">
        <v>84</v>
      </c>
      <c r="E11" s="117" t="s">
        <v>84</v>
      </c>
      <c r="F11" s="108">
        <f>ROUND((3985.29 *0.0111+3985.29*0.0257*4),2)</f>
        <v>453.92</v>
      </c>
      <c r="I11" s="115"/>
      <c r="J11" s="115"/>
    </row>
    <row r="12" spans="1:13" ht="147" hidden="1" customHeight="1" x14ac:dyDescent="0.25">
      <c r="A12" s="104"/>
      <c r="B12" s="116"/>
      <c r="C12" s="118"/>
      <c r="D12" s="119"/>
      <c r="E12" s="113"/>
      <c r="F12" s="120"/>
      <c r="G12" s="114"/>
      <c r="I12" s="121"/>
      <c r="J12" s="115"/>
    </row>
    <row r="13" spans="1:13" ht="19.5" customHeight="1" thickBot="1" x14ac:dyDescent="0.3">
      <c r="A13" s="122"/>
      <c r="B13" s="226" t="s">
        <v>51</v>
      </c>
      <c r="C13" s="227"/>
      <c r="D13" s="228"/>
      <c r="E13" s="113"/>
      <c r="F13" s="123">
        <f>ROUND(SUM(F9:F12),2)</f>
        <v>71897.56</v>
      </c>
      <c r="G13" s="124"/>
      <c r="H13" s="125"/>
      <c r="I13" s="126"/>
      <c r="J13" s="126"/>
      <c r="K13" s="127"/>
      <c r="L13" s="127"/>
      <c r="M13" s="127"/>
    </row>
    <row r="14" spans="1:13" ht="34.5" customHeight="1" thickBot="1" x14ac:dyDescent="0.3">
      <c r="A14" s="122"/>
      <c r="B14" s="229" t="s">
        <v>151</v>
      </c>
      <c r="C14" s="229"/>
      <c r="D14" s="229"/>
      <c r="E14" s="229"/>
      <c r="F14" s="128">
        <f>ROUND(F13*3.63,2)</f>
        <v>260988.14</v>
      </c>
      <c r="G14" s="129"/>
      <c r="H14" s="125"/>
      <c r="I14" s="126"/>
      <c r="J14" s="126"/>
      <c r="K14" s="127"/>
      <c r="L14" s="127"/>
      <c r="M14" s="127"/>
    </row>
    <row r="15" spans="1:13" ht="18" customHeight="1" thickBot="1" x14ac:dyDescent="0.3">
      <c r="A15" s="217" t="s">
        <v>52</v>
      </c>
      <c r="B15" s="217"/>
      <c r="C15" s="217"/>
      <c r="D15" s="217"/>
      <c r="E15" s="217"/>
      <c r="F15" s="130">
        <f>ROUND(F14*0.18,2)</f>
        <v>46977.87</v>
      </c>
      <c r="G15" s="131"/>
      <c r="H15" s="132"/>
      <c r="I15" s="115"/>
      <c r="J15" s="131"/>
    </row>
    <row r="16" spans="1:13" ht="22.5" customHeight="1" thickBot="1" x14ac:dyDescent="0.3">
      <c r="A16" s="231" t="s">
        <v>53</v>
      </c>
      <c r="B16" s="231"/>
      <c r="C16" s="231"/>
      <c r="D16" s="231"/>
      <c r="E16" s="231"/>
      <c r="F16" s="133">
        <f>ROUND(F14+F15,2)</f>
        <v>307966.01</v>
      </c>
      <c r="G16" s="129"/>
      <c r="H16" s="129"/>
      <c r="I16" s="115"/>
      <c r="J16" s="131"/>
    </row>
    <row r="17" spans="1:10" ht="22.5" customHeight="1" thickBot="1" x14ac:dyDescent="0.3">
      <c r="A17" s="98"/>
      <c r="B17" s="223" t="s">
        <v>57</v>
      </c>
      <c r="C17" s="224"/>
      <c r="D17" s="224"/>
      <c r="E17" s="224"/>
      <c r="F17" s="225"/>
      <c r="G17" s="129"/>
      <c r="H17" s="129"/>
      <c r="I17" s="115"/>
      <c r="J17" s="131"/>
    </row>
    <row r="18" spans="1:10" ht="165" customHeight="1" thickBot="1" x14ac:dyDescent="0.3">
      <c r="A18" s="104" t="s">
        <v>8</v>
      </c>
      <c r="B18" s="105" t="s">
        <v>142</v>
      </c>
      <c r="C18" s="107" t="s">
        <v>139</v>
      </c>
      <c r="D18" s="108" t="s">
        <v>140</v>
      </c>
      <c r="E18" s="106"/>
      <c r="F18" s="108">
        <f>ROUND((69+1.52*694.7)*0.12*0.6*1000,2)</f>
        <v>80995.97</v>
      </c>
      <c r="G18" s="129">
        <f xml:space="preserve"> (25*0.01+31.4*0.01+7.1/2+3.2+3.5+1.2)/100</f>
        <v>0.12014</v>
      </c>
      <c r="H18" s="129"/>
      <c r="I18" s="115"/>
      <c r="J18" s="131"/>
    </row>
    <row r="19" spans="1:10" ht="22.5" customHeight="1" thickBot="1" x14ac:dyDescent="0.3">
      <c r="A19" s="122"/>
      <c r="B19" s="226" t="s">
        <v>51</v>
      </c>
      <c r="C19" s="227"/>
      <c r="D19" s="228"/>
      <c r="E19" s="113"/>
      <c r="F19" s="123">
        <f>ROUND(SUM(F18:F18),2)</f>
        <v>80995.97</v>
      </c>
      <c r="G19" s="129"/>
      <c r="H19" s="129"/>
      <c r="I19" s="115"/>
      <c r="J19" s="131"/>
    </row>
    <row r="20" spans="1:10" ht="43.5" customHeight="1" thickBot="1" x14ac:dyDescent="0.3">
      <c r="A20" s="122"/>
      <c r="B20" s="229" t="s">
        <v>151</v>
      </c>
      <c r="C20" s="229"/>
      <c r="D20" s="229"/>
      <c r="E20" s="229"/>
      <c r="F20" s="128">
        <f>ROUND(F19*3.63,2)</f>
        <v>294015.37</v>
      </c>
      <c r="G20" s="129"/>
      <c r="H20" s="129"/>
      <c r="I20" s="115"/>
      <c r="J20" s="131"/>
    </row>
    <row r="21" spans="1:10" ht="22.5" customHeight="1" thickBot="1" x14ac:dyDescent="0.3">
      <c r="A21" s="217" t="s">
        <v>52</v>
      </c>
      <c r="B21" s="217"/>
      <c r="C21" s="217"/>
      <c r="D21" s="217"/>
      <c r="E21" s="217"/>
      <c r="F21" s="130">
        <f>ROUND(F20*0.18,2)</f>
        <v>52922.77</v>
      </c>
      <c r="G21" s="129"/>
      <c r="H21" s="129"/>
      <c r="I21" s="115"/>
      <c r="J21" s="131"/>
    </row>
    <row r="22" spans="1:10" ht="22.5" customHeight="1" thickBot="1" x14ac:dyDescent="0.3">
      <c r="A22" s="231" t="s">
        <v>53</v>
      </c>
      <c r="B22" s="231"/>
      <c r="C22" s="231"/>
      <c r="D22" s="231"/>
      <c r="E22" s="231"/>
      <c r="F22" s="133">
        <f>ROUND(F20+F21,2)</f>
        <v>346938.14</v>
      </c>
      <c r="G22" s="129"/>
      <c r="H22" s="129"/>
      <c r="I22" s="115"/>
      <c r="J22" s="131"/>
    </row>
    <row r="23" spans="1:10" ht="22.5" customHeight="1" x14ac:dyDescent="0.25">
      <c r="A23" s="134"/>
      <c r="B23" s="134"/>
      <c r="C23" s="134"/>
      <c r="D23" s="134"/>
      <c r="E23" s="134"/>
      <c r="F23" s="158"/>
      <c r="G23" s="129"/>
      <c r="H23" s="129"/>
      <c r="I23" s="115"/>
      <c r="J23" s="131"/>
    </row>
    <row r="24" spans="1:10" ht="22.5" customHeight="1" x14ac:dyDescent="0.25">
      <c r="A24" s="134"/>
      <c r="B24" s="134"/>
      <c r="C24" s="134"/>
      <c r="D24" s="134"/>
      <c r="E24" s="134"/>
      <c r="F24" s="158"/>
      <c r="G24" s="129"/>
      <c r="H24" s="129"/>
      <c r="I24" s="115"/>
      <c r="J24" s="131"/>
    </row>
    <row r="25" spans="1:10" ht="22.5" customHeight="1" x14ac:dyDescent="0.3">
      <c r="A25" s="74" t="s">
        <v>35</v>
      </c>
      <c r="B25" s="3"/>
      <c r="C25" s="3"/>
      <c r="D25" s="76"/>
      <c r="E25" s="134"/>
      <c r="F25" s="158"/>
      <c r="G25" s="129"/>
      <c r="H25" s="129"/>
      <c r="I25" s="115"/>
      <c r="J25" s="131"/>
    </row>
    <row r="26" spans="1:10" ht="22.5" customHeight="1" x14ac:dyDescent="0.3">
      <c r="A26" s="74"/>
      <c r="B26" s="3"/>
      <c r="C26" s="3"/>
      <c r="D26" s="76"/>
      <c r="E26" s="134"/>
      <c r="F26" s="158"/>
      <c r="G26" s="129"/>
      <c r="H26" s="129"/>
      <c r="I26" s="115"/>
      <c r="J26" s="131"/>
    </row>
    <row r="27" spans="1:10" ht="22.5" customHeight="1" x14ac:dyDescent="0.25">
      <c r="A27" s="207" t="s">
        <v>36</v>
      </c>
      <c r="B27" s="207"/>
      <c r="C27" s="207"/>
      <c r="D27" s="207"/>
      <c r="E27" s="134"/>
      <c r="F27" s="158"/>
      <c r="G27" s="129"/>
      <c r="H27" s="129"/>
      <c r="I27" s="115"/>
      <c r="J27" s="131"/>
    </row>
    <row r="28" spans="1:10" ht="22.5" customHeight="1" x14ac:dyDescent="0.25">
      <c r="A28" s="134"/>
      <c r="B28" s="134"/>
      <c r="C28" s="134"/>
      <c r="D28" s="134"/>
      <c r="E28" s="134"/>
      <c r="F28" s="158"/>
      <c r="G28" s="129"/>
      <c r="H28" s="129"/>
      <c r="I28" s="115"/>
      <c r="J28" s="131"/>
    </row>
    <row r="29" spans="1:10" ht="22.5" customHeight="1" x14ac:dyDescent="0.25">
      <c r="A29" s="134"/>
      <c r="B29" s="134"/>
      <c r="C29" s="134"/>
      <c r="D29" s="134"/>
      <c r="E29" s="134"/>
      <c r="F29" s="158"/>
      <c r="G29" s="129"/>
      <c r="H29" s="129"/>
      <c r="I29" s="115"/>
      <c r="J29" s="131"/>
    </row>
    <row r="30" spans="1:10" ht="22.5" customHeight="1" x14ac:dyDescent="0.25">
      <c r="A30" s="134"/>
      <c r="B30" s="134"/>
      <c r="C30" s="134"/>
      <c r="D30" s="134"/>
      <c r="E30" s="134"/>
      <c r="F30" s="158"/>
      <c r="G30" s="129"/>
      <c r="H30" s="129"/>
      <c r="I30" s="115"/>
      <c r="J30" s="131"/>
    </row>
    <row r="31" spans="1:10" ht="22.5" customHeight="1" x14ac:dyDescent="0.25">
      <c r="A31" s="134"/>
      <c r="B31" s="134"/>
      <c r="C31" s="134"/>
      <c r="D31" s="134"/>
      <c r="E31" s="134"/>
      <c r="F31" s="158"/>
      <c r="G31" s="129"/>
      <c r="H31" s="129"/>
      <c r="I31" s="115"/>
      <c r="J31" s="131"/>
    </row>
    <row r="32" spans="1:10" ht="22.5" customHeight="1" x14ac:dyDescent="0.25">
      <c r="A32" s="134"/>
      <c r="B32" s="134"/>
      <c r="C32" s="134"/>
      <c r="D32" s="134"/>
      <c r="E32" s="134"/>
      <c r="F32" s="158"/>
      <c r="G32" s="129"/>
      <c r="H32" s="129"/>
      <c r="I32" s="115"/>
      <c r="J32" s="131"/>
    </row>
    <row r="33" spans="1:10" ht="22.5" customHeight="1" x14ac:dyDescent="0.25">
      <c r="A33" s="134"/>
      <c r="B33" s="134"/>
      <c r="C33" s="134"/>
      <c r="D33" s="134"/>
      <c r="E33" s="134"/>
      <c r="F33" s="158"/>
      <c r="G33" s="129"/>
      <c r="H33" s="129"/>
      <c r="I33" s="115"/>
      <c r="J33" s="131"/>
    </row>
    <row r="34" spans="1:10" ht="22.5" customHeight="1" x14ac:dyDescent="0.25">
      <c r="A34" s="134"/>
      <c r="B34" s="134"/>
      <c r="C34" s="134"/>
      <c r="D34" s="134"/>
      <c r="E34" s="134"/>
      <c r="F34" s="158"/>
      <c r="G34" s="129"/>
      <c r="H34" s="129"/>
      <c r="I34" s="115"/>
      <c r="J34" s="131"/>
    </row>
    <row r="35" spans="1:10" ht="22.5" customHeight="1" x14ac:dyDescent="0.25">
      <c r="A35" s="134"/>
      <c r="B35" s="134"/>
      <c r="C35" s="134"/>
      <c r="D35" s="134"/>
      <c r="E35" s="134"/>
      <c r="F35" s="158"/>
      <c r="G35" s="129"/>
      <c r="H35" s="129"/>
      <c r="I35" s="115"/>
      <c r="J35" s="131"/>
    </row>
    <row r="36" spans="1:10" ht="22.5" customHeight="1" x14ac:dyDescent="0.25">
      <c r="A36" s="134"/>
      <c r="B36" s="134"/>
      <c r="C36" s="134"/>
      <c r="D36" s="134"/>
      <c r="E36" s="134"/>
      <c r="F36" s="158"/>
      <c r="G36" s="129"/>
      <c r="H36" s="129"/>
      <c r="I36" s="115"/>
      <c r="J36" s="131"/>
    </row>
    <row r="37" spans="1:10" ht="22.5" customHeight="1" x14ac:dyDescent="0.25">
      <c r="A37" s="134"/>
      <c r="B37" s="134"/>
      <c r="C37" s="134"/>
      <c r="D37" s="134"/>
      <c r="E37" s="134"/>
      <c r="F37" s="158"/>
      <c r="G37" s="129"/>
      <c r="H37" s="129"/>
      <c r="I37" s="115"/>
      <c r="J37" s="131"/>
    </row>
    <row r="38" spans="1:10" ht="22.5" customHeight="1" x14ac:dyDescent="0.25">
      <c r="A38" s="134"/>
      <c r="B38" s="134"/>
      <c r="C38" s="134"/>
      <c r="D38" s="134"/>
      <c r="E38" s="134"/>
      <c r="F38" s="158"/>
      <c r="G38" s="129"/>
      <c r="H38" s="129"/>
      <c r="I38" s="115"/>
      <c r="J38" s="131"/>
    </row>
    <row r="39" spans="1:10" ht="12.75" customHeight="1" x14ac:dyDescent="0.25">
      <c r="A39" s="134"/>
      <c r="B39" s="134"/>
      <c r="C39" s="134"/>
      <c r="D39" s="134"/>
      <c r="E39" s="134"/>
      <c r="F39" s="135"/>
      <c r="H39" s="129"/>
      <c r="I39" s="115"/>
      <c r="J39" s="131"/>
    </row>
    <row r="40" spans="1:10" ht="16.5" customHeight="1" x14ac:dyDescent="0.25">
      <c r="A40" s="157"/>
      <c r="B40" s="81"/>
      <c r="G40" s="129"/>
      <c r="J40" s="129"/>
    </row>
    <row r="41" spans="1:10" x14ac:dyDescent="0.25">
      <c r="A41" s="157"/>
      <c r="B41" s="81"/>
    </row>
    <row r="42" spans="1:10" x14ac:dyDescent="0.25">
      <c r="A42" s="230"/>
      <c r="B42" s="230"/>
      <c r="C42" s="230"/>
      <c r="F42" s="137"/>
      <c r="G42" s="138"/>
      <c r="I42" s="139"/>
      <c r="J42" s="129"/>
    </row>
    <row r="43" spans="1:10" x14ac:dyDescent="0.25">
      <c r="A43" s="81"/>
      <c r="B43" s="81"/>
      <c r="C43" s="83" t="s">
        <v>55</v>
      </c>
      <c r="F43" s="140"/>
    </row>
    <row r="44" spans="1:10" x14ac:dyDescent="0.25">
      <c r="A44" s="81"/>
      <c r="B44" s="81"/>
      <c r="F44" s="140"/>
    </row>
    <row r="45" spans="1:10" x14ac:dyDescent="0.25">
      <c r="A45" s="81"/>
      <c r="B45" s="81"/>
      <c r="F45" s="140"/>
    </row>
    <row r="46" spans="1:10" x14ac:dyDescent="0.25">
      <c r="A46" s="81"/>
      <c r="B46" s="81"/>
      <c r="F46" s="140"/>
    </row>
    <row r="47" spans="1:10" x14ac:dyDescent="0.25">
      <c r="A47" s="81"/>
      <c r="B47" s="81"/>
      <c r="F47" s="140"/>
    </row>
    <row r="48" spans="1:10" x14ac:dyDescent="0.25">
      <c r="A48" s="81"/>
      <c r="B48" s="81"/>
      <c r="F48" s="140"/>
    </row>
  </sheetData>
  <mergeCells count="14">
    <mergeCell ref="A42:C42"/>
    <mergeCell ref="A16:E16"/>
    <mergeCell ref="B17:F17"/>
    <mergeCell ref="B19:D19"/>
    <mergeCell ref="B20:E20"/>
    <mergeCell ref="A21:E21"/>
    <mergeCell ref="A22:E22"/>
    <mergeCell ref="A27:D27"/>
    <mergeCell ref="A15:E15"/>
    <mergeCell ref="A5:F5"/>
    <mergeCell ref="A6:F6"/>
    <mergeCell ref="B8:F8"/>
    <mergeCell ref="B13:D13"/>
    <mergeCell ref="B14:E14"/>
  </mergeCells>
  <pageMargins left="0.7" right="0.7" top="0.48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6" workbookViewId="0">
      <selection activeCell="G15" sqref="G15"/>
    </sheetView>
  </sheetViews>
  <sheetFormatPr defaultRowHeight="18.75" x14ac:dyDescent="0.3"/>
  <cols>
    <col min="1" max="1" width="5.85546875" style="50" customWidth="1"/>
    <col min="2" max="2" width="42.85546875" style="2" customWidth="1"/>
    <col min="3" max="3" width="43.28515625" style="2" customWidth="1"/>
    <col min="4" max="4" width="26.42578125" style="2" customWidth="1"/>
    <col min="5" max="5" width="34.140625" style="2" customWidth="1"/>
    <col min="6" max="6" width="10.5703125" style="2" customWidth="1"/>
    <col min="7" max="7" width="31" style="2" customWidth="1"/>
    <col min="8" max="8" width="21.28515625" style="2" customWidth="1"/>
    <col min="9" max="9" width="36" style="2" customWidth="1"/>
    <col min="10" max="10" width="9.140625" style="2"/>
    <col min="11" max="11" width="14.7109375" style="2" customWidth="1"/>
    <col min="12" max="12" width="16" style="2" bestFit="1" customWidth="1"/>
    <col min="13" max="16384" width="9.140625" style="2"/>
  </cols>
  <sheetData>
    <row r="1" spans="1:10" x14ac:dyDescent="0.3">
      <c r="A1" s="49"/>
      <c r="B1" s="52"/>
      <c r="C1" s="53"/>
      <c r="D1" s="53"/>
      <c r="E1" s="54"/>
      <c r="F1" s="55"/>
      <c r="G1" s="53"/>
    </row>
    <row r="2" spans="1:10" x14ac:dyDescent="0.3">
      <c r="A2" s="56"/>
      <c r="B2" s="53"/>
      <c r="C2" s="53"/>
      <c r="D2" s="53"/>
      <c r="E2" s="57"/>
      <c r="F2" s="55"/>
      <c r="G2" s="53"/>
      <c r="J2" s="58"/>
    </row>
    <row r="3" spans="1:10" x14ac:dyDescent="0.3">
      <c r="A3" s="56"/>
      <c r="B3" s="53"/>
      <c r="C3" s="53"/>
      <c r="D3" s="53"/>
      <c r="E3" s="57"/>
      <c r="F3" s="53"/>
      <c r="G3" s="53"/>
      <c r="J3" s="58"/>
    </row>
    <row r="4" spans="1:10" ht="80.25" customHeight="1" x14ac:dyDescent="0.3">
      <c r="A4" s="208" t="s">
        <v>148</v>
      </c>
      <c r="B4" s="208"/>
      <c r="C4" s="208"/>
      <c r="D4" s="208"/>
      <c r="E4" s="208"/>
      <c r="F4" s="208"/>
      <c r="G4" s="208"/>
      <c r="H4" s="51"/>
    </row>
    <row r="5" spans="1:10" ht="37.5" x14ac:dyDescent="0.3">
      <c r="A5" s="59" t="s">
        <v>4</v>
      </c>
      <c r="B5" s="60" t="s">
        <v>0</v>
      </c>
      <c r="C5" s="60" t="s">
        <v>1</v>
      </c>
      <c r="D5" s="60" t="s">
        <v>32</v>
      </c>
      <c r="E5" s="80" t="s">
        <v>14</v>
      </c>
      <c r="F5" s="60" t="s">
        <v>33</v>
      </c>
      <c r="G5" s="60" t="s">
        <v>2</v>
      </c>
      <c r="H5" s="61"/>
      <c r="I5" s="62"/>
    </row>
    <row r="6" spans="1:10" x14ac:dyDescent="0.3">
      <c r="A6" s="63" t="s">
        <v>8</v>
      </c>
      <c r="B6" s="64">
        <v>2</v>
      </c>
      <c r="C6" s="64">
        <v>3</v>
      </c>
      <c r="D6" s="64">
        <v>4</v>
      </c>
      <c r="E6" s="79">
        <v>5</v>
      </c>
      <c r="F6" s="64">
        <v>6</v>
      </c>
      <c r="G6" s="64">
        <v>7</v>
      </c>
      <c r="H6" s="40"/>
      <c r="I6" s="62"/>
    </row>
    <row r="7" spans="1:10" ht="18.75" customHeight="1" x14ac:dyDescent="0.3">
      <c r="A7" s="209"/>
      <c r="B7" s="210"/>
      <c r="C7" s="210"/>
      <c r="D7" s="210"/>
      <c r="E7" s="210"/>
      <c r="F7" s="210"/>
      <c r="G7" s="211"/>
      <c r="H7" s="40"/>
      <c r="I7" s="62"/>
    </row>
    <row r="8" spans="1:10" s="67" customFormat="1" ht="19.5" x14ac:dyDescent="0.2">
      <c r="A8" s="65"/>
      <c r="B8" s="212" t="s">
        <v>75</v>
      </c>
      <c r="C8" s="213"/>
      <c r="D8" s="213"/>
      <c r="E8" s="213"/>
      <c r="F8" s="213"/>
      <c r="G8" s="214"/>
      <c r="H8" s="66"/>
      <c r="I8" s="6"/>
    </row>
    <row r="9" spans="1:10" s="67" customFormat="1" ht="147" customHeight="1" x14ac:dyDescent="0.2">
      <c r="A9" s="65">
        <v>1</v>
      </c>
      <c r="B9" s="69" t="s">
        <v>60</v>
      </c>
      <c r="C9" s="69" t="s">
        <v>61</v>
      </c>
      <c r="D9" s="48" t="s">
        <v>62</v>
      </c>
      <c r="E9" s="70" t="s">
        <v>63</v>
      </c>
      <c r="F9" s="144" t="s">
        <v>6</v>
      </c>
      <c r="G9" s="71">
        <f>ROUND((5699+3623+1219+2295)*1.15*F9,2)</f>
        <v>44284.2</v>
      </c>
      <c r="H9" s="66"/>
      <c r="I9" s="6"/>
    </row>
    <row r="10" spans="1:10" s="67" customFormat="1" ht="90" customHeight="1" x14ac:dyDescent="0.2">
      <c r="A10" s="65">
        <v>2</v>
      </c>
      <c r="B10" s="69" t="s">
        <v>65</v>
      </c>
      <c r="C10" s="69" t="s">
        <v>66</v>
      </c>
      <c r="D10" s="48" t="s">
        <v>62</v>
      </c>
      <c r="E10" s="147" t="s">
        <v>67</v>
      </c>
      <c r="F10" s="148" t="s">
        <v>7</v>
      </c>
      <c r="G10" s="149">
        <f>ROUND((1712+1422+1164+554)*1.2*F10,2)</f>
        <v>23289.599999999999</v>
      </c>
      <c r="H10" s="66"/>
      <c r="I10" s="6"/>
    </row>
    <row r="11" spans="1:10" s="67" customFormat="1" ht="99.75" customHeight="1" x14ac:dyDescent="0.2">
      <c r="A11" s="68">
        <v>3</v>
      </c>
      <c r="B11" s="69" t="s">
        <v>68</v>
      </c>
      <c r="C11" s="69" t="s">
        <v>69</v>
      </c>
      <c r="D11" s="143" t="s">
        <v>64</v>
      </c>
      <c r="E11" s="145" t="s">
        <v>76</v>
      </c>
      <c r="F11" s="150">
        <v>1</v>
      </c>
      <c r="G11" s="71">
        <f>ROUND(((7780+((1504.84-1000)/(3000-1000))*(9097-7780/1))),2)</f>
        <v>8112.44</v>
      </c>
      <c r="H11" s="66"/>
      <c r="I11" s="6"/>
    </row>
    <row r="12" spans="1:10" s="67" customFormat="1" ht="86.25" customHeight="1" x14ac:dyDescent="0.2">
      <c r="A12" s="68">
        <v>4</v>
      </c>
      <c r="B12" s="69" t="s">
        <v>70</v>
      </c>
      <c r="C12" s="69" t="s">
        <v>71</v>
      </c>
      <c r="D12" s="143" t="s">
        <v>64</v>
      </c>
      <c r="E12" s="145" t="s">
        <v>77</v>
      </c>
      <c r="F12" s="151">
        <v>1</v>
      </c>
      <c r="G12" s="71">
        <f>ROUND(((12397+((1504.84-1000)/(3000-1000))*(13385-12397/1))),2)</f>
        <v>12646.39</v>
      </c>
      <c r="H12" s="66"/>
      <c r="I12" s="6"/>
    </row>
    <row r="13" spans="1:10" s="67" customFormat="1" ht="98.25" customHeight="1" x14ac:dyDescent="0.2">
      <c r="A13" s="65">
        <v>5</v>
      </c>
      <c r="B13" s="69" t="s">
        <v>17</v>
      </c>
      <c r="C13" s="142" t="s">
        <v>72</v>
      </c>
      <c r="D13" s="152" t="s">
        <v>73</v>
      </c>
      <c r="E13" s="48">
        <v>51.3</v>
      </c>
      <c r="F13" s="146">
        <v>25</v>
      </c>
      <c r="G13" s="71">
        <f>ROUND(E13*F13,2)</f>
        <v>1282.5</v>
      </c>
      <c r="H13" s="66"/>
      <c r="I13" s="6"/>
    </row>
    <row r="14" spans="1:10" s="67" customFormat="1" ht="19.5" x14ac:dyDescent="0.2">
      <c r="A14" s="72"/>
      <c r="B14" s="215" t="s">
        <v>31</v>
      </c>
      <c r="C14" s="215"/>
      <c r="D14" s="215"/>
      <c r="E14" s="215"/>
      <c r="F14" s="215"/>
      <c r="G14" s="73">
        <f>ROUND(SUM(G9:G13),2)</f>
        <v>89615.13</v>
      </c>
      <c r="H14" s="66"/>
      <c r="I14" s="6"/>
    </row>
    <row r="15" spans="1:10" s="67" customFormat="1" ht="19.5" x14ac:dyDescent="0.2">
      <c r="A15" s="72"/>
      <c r="B15" s="216" t="s">
        <v>152</v>
      </c>
      <c r="C15" s="216" t="s">
        <v>15</v>
      </c>
      <c r="D15" s="216"/>
      <c r="E15" s="216"/>
      <c r="F15" s="216"/>
      <c r="G15" s="73">
        <f>ROUND(G14*3.63,2)</f>
        <v>325302.92</v>
      </c>
      <c r="H15" s="66"/>
      <c r="I15" s="6"/>
    </row>
    <row r="16" spans="1:10" s="67" customFormat="1" ht="19.5" x14ac:dyDescent="0.2">
      <c r="A16" s="72"/>
      <c r="B16" s="232" t="s">
        <v>34</v>
      </c>
      <c r="C16" s="233"/>
      <c r="D16" s="233"/>
      <c r="E16" s="233"/>
      <c r="F16" s="233"/>
      <c r="G16" s="234"/>
      <c r="H16" s="66"/>
      <c r="I16" s="6"/>
    </row>
    <row r="17" spans="1:9" s="67" customFormat="1" ht="19.5" x14ac:dyDescent="0.2">
      <c r="A17" s="77"/>
      <c r="B17" s="78"/>
      <c r="C17" s="78"/>
      <c r="D17" s="78"/>
      <c r="E17" s="78"/>
      <c r="F17" s="78"/>
      <c r="G17" s="78"/>
      <c r="H17" s="66"/>
      <c r="I17" s="6"/>
    </row>
    <row r="18" spans="1:9" s="67" customFormat="1" ht="19.5" x14ac:dyDescent="0.2">
      <c r="A18" s="77"/>
      <c r="B18" s="78"/>
      <c r="C18" s="78"/>
      <c r="D18" s="78"/>
      <c r="E18" s="78"/>
      <c r="F18" s="78"/>
      <c r="G18" s="78"/>
      <c r="H18" s="66"/>
      <c r="I18" s="6"/>
    </row>
    <row r="19" spans="1:9" s="67" customFormat="1" ht="19.5" x14ac:dyDescent="0.2">
      <c r="A19" s="77"/>
      <c r="B19" s="78"/>
      <c r="C19" s="78"/>
      <c r="D19" s="78"/>
      <c r="E19" s="78"/>
      <c r="F19" s="78"/>
      <c r="G19" s="78"/>
      <c r="H19" s="66"/>
      <c r="I19" s="6"/>
    </row>
    <row r="20" spans="1:9" s="67" customFormat="1" ht="19.5" x14ac:dyDescent="0.2">
      <c r="A20" s="77"/>
      <c r="B20" s="78"/>
      <c r="C20" s="78"/>
      <c r="D20" s="78"/>
      <c r="E20" s="78"/>
      <c r="F20" s="78"/>
      <c r="G20" s="78"/>
      <c r="H20" s="66"/>
      <c r="I20" s="6"/>
    </row>
    <row r="21" spans="1:9" s="67" customFormat="1" ht="19.5" x14ac:dyDescent="0.2">
      <c r="A21" s="77"/>
      <c r="B21" s="78"/>
      <c r="C21" s="78"/>
      <c r="D21" s="78"/>
      <c r="E21" s="78"/>
      <c r="F21" s="78"/>
      <c r="G21" s="78"/>
      <c r="H21" s="66"/>
      <c r="I21" s="6"/>
    </row>
    <row r="22" spans="1:9" x14ac:dyDescent="0.3">
      <c r="H22" s="53"/>
      <c r="I22" s="53"/>
    </row>
    <row r="23" spans="1:9" x14ac:dyDescent="0.3">
      <c r="A23" s="74" t="s">
        <v>35</v>
      </c>
      <c r="B23" s="3"/>
      <c r="C23" s="3"/>
      <c r="G23" s="58"/>
      <c r="H23" s="53"/>
      <c r="I23" s="53"/>
    </row>
    <row r="24" spans="1:9" x14ac:dyDescent="0.3">
      <c r="A24" s="74"/>
      <c r="B24" s="3"/>
      <c r="C24" s="3"/>
      <c r="G24" s="58"/>
      <c r="H24" s="53"/>
      <c r="I24" s="53"/>
    </row>
    <row r="25" spans="1:9" x14ac:dyDescent="0.3">
      <c r="A25" s="207" t="s">
        <v>36</v>
      </c>
      <c r="B25" s="207"/>
      <c r="C25" s="207"/>
      <c r="D25" s="207"/>
      <c r="H25" s="53"/>
      <c r="I25" s="53"/>
    </row>
    <row r="26" spans="1:9" x14ac:dyDescent="0.3">
      <c r="A26" s="75"/>
    </row>
  </sheetData>
  <mergeCells count="7">
    <mergeCell ref="A25:D25"/>
    <mergeCell ref="B16:G16"/>
    <mergeCell ref="A4:G4"/>
    <mergeCell ref="A7:G7"/>
    <mergeCell ref="B8:G8"/>
    <mergeCell ref="B14:F14"/>
    <mergeCell ref="B15:F15"/>
  </mergeCells>
  <pageMargins left="0.7" right="0.7" top="0.44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activeCell="F20" sqref="F20"/>
    </sheetView>
  </sheetViews>
  <sheetFormatPr defaultColWidth="9.140625" defaultRowHeight="15.75" x14ac:dyDescent="0.25"/>
  <cols>
    <col min="1" max="1" width="5.5703125" style="141" customWidth="1"/>
    <col min="2" max="2" width="53.5703125" style="83" customWidth="1"/>
    <col min="3" max="3" width="56.7109375" style="83" customWidth="1"/>
    <col min="4" max="4" width="35.7109375" style="87" customWidth="1"/>
    <col min="5" max="5" width="0.28515625" style="87" hidden="1" customWidth="1"/>
    <col min="6" max="6" width="25" style="88" customWidth="1"/>
    <col min="7" max="7" width="21.5703125" style="81" customWidth="1"/>
    <col min="8" max="8" width="18.140625" style="81" hidden="1" customWidth="1"/>
    <col min="9" max="9" width="19.5703125" style="81" customWidth="1"/>
    <col min="10" max="10" width="20.28515625" style="81" customWidth="1"/>
    <col min="11" max="11" width="5" style="81" customWidth="1"/>
    <col min="12" max="12" width="7.28515625" style="81" customWidth="1"/>
    <col min="13" max="16384" width="9.140625" style="81"/>
  </cols>
  <sheetData>
    <row r="1" spans="1:13" x14ac:dyDescent="0.25">
      <c r="A1" s="85"/>
      <c r="D1" s="86"/>
    </row>
    <row r="2" spans="1:13" x14ac:dyDescent="0.25">
      <c r="A2" s="89"/>
      <c r="B2" s="81"/>
      <c r="D2" s="90"/>
      <c r="E2" s="91"/>
      <c r="F2" s="92"/>
    </row>
    <row r="3" spans="1:13" x14ac:dyDescent="0.25">
      <c r="A3" s="89"/>
      <c r="B3" s="81"/>
      <c r="D3" s="86"/>
      <c r="E3" s="91"/>
      <c r="F3" s="92"/>
    </row>
    <row r="4" spans="1:13" x14ac:dyDescent="0.25">
      <c r="A4" s="89"/>
      <c r="H4" s="93"/>
      <c r="I4" s="94"/>
      <c r="J4" s="93"/>
      <c r="K4" s="93"/>
    </row>
    <row r="5" spans="1:13" ht="58.5" customHeight="1" thickBot="1" x14ac:dyDescent="0.3">
      <c r="A5" s="218" t="s">
        <v>148</v>
      </c>
      <c r="B5" s="219"/>
      <c r="C5" s="219"/>
      <c r="D5" s="219"/>
      <c r="E5" s="219"/>
      <c r="F5" s="219"/>
      <c r="H5" s="95"/>
      <c r="I5" s="95"/>
      <c r="J5" s="95"/>
      <c r="K5" s="95"/>
    </row>
    <row r="6" spans="1:13" ht="16.5" thickBot="1" x14ac:dyDescent="0.3">
      <c r="A6" s="220" t="s">
        <v>82</v>
      </c>
      <c r="B6" s="221"/>
      <c r="C6" s="221"/>
      <c r="D6" s="221"/>
      <c r="E6" s="221"/>
      <c r="F6" s="222"/>
      <c r="G6" s="96"/>
      <c r="H6" s="97"/>
      <c r="I6" s="97"/>
      <c r="J6" s="97"/>
    </row>
    <row r="7" spans="1:13" ht="36" customHeight="1" thickBot="1" x14ac:dyDescent="0.3">
      <c r="A7" s="98" t="s">
        <v>4</v>
      </c>
      <c r="B7" s="99" t="s">
        <v>0</v>
      </c>
      <c r="C7" s="99" t="s">
        <v>1</v>
      </c>
      <c r="D7" s="99" t="s">
        <v>14</v>
      </c>
      <c r="E7" s="99" t="s">
        <v>45</v>
      </c>
      <c r="F7" s="99" t="s">
        <v>2</v>
      </c>
      <c r="G7" s="100"/>
      <c r="H7" s="101"/>
      <c r="I7" s="102"/>
      <c r="J7" s="103"/>
      <c r="K7" s="103"/>
      <c r="L7" s="93"/>
    </row>
    <row r="8" spans="1:13" ht="16.5" thickBot="1" x14ac:dyDescent="0.3">
      <c r="A8" s="98"/>
      <c r="B8" s="223" t="s">
        <v>46</v>
      </c>
      <c r="C8" s="224"/>
      <c r="D8" s="224"/>
      <c r="E8" s="224"/>
      <c r="F8" s="225"/>
      <c r="G8" s="100"/>
      <c r="H8" s="101"/>
      <c r="I8" s="103"/>
      <c r="J8" s="103"/>
      <c r="K8" s="103"/>
      <c r="L8" s="93"/>
    </row>
    <row r="9" spans="1:13" ht="150" customHeight="1" thickBot="1" x14ac:dyDescent="0.3">
      <c r="A9" s="104" t="s">
        <v>8</v>
      </c>
      <c r="B9" s="105" t="s">
        <v>83</v>
      </c>
      <c r="C9" s="107" t="s">
        <v>86</v>
      </c>
      <c r="D9" s="108" t="s">
        <v>87</v>
      </c>
      <c r="E9" s="106"/>
      <c r="F9" s="108">
        <f>(27+1.604*469.9)*0.15*1.45*0.4*1000</f>
        <v>67922.605200000005</v>
      </c>
      <c r="G9" s="109">
        <f xml:space="preserve"> (24.6*0.01+26.7*0.01+5.7/2+2.1+3+5.6)/100</f>
        <v>0.14063000000000001</v>
      </c>
      <c r="H9" s="97"/>
      <c r="I9" s="110"/>
      <c r="J9" s="111"/>
    </row>
    <row r="10" spans="1:13" ht="189" customHeight="1" thickBot="1" x14ac:dyDescent="0.3">
      <c r="A10" s="104" t="s">
        <v>5</v>
      </c>
      <c r="B10" s="105" t="s">
        <v>47</v>
      </c>
      <c r="C10" s="116" t="s">
        <v>48</v>
      </c>
      <c r="D10" s="112" t="s">
        <v>49</v>
      </c>
      <c r="E10" s="117" t="s">
        <v>49</v>
      </c>
      <c r="F10" s="108">
        <f>ROUND((1860+1648+439),2)</f>
        <v>3947</v>
      </c>
      <c r="I10" s="115"/>
      <c r="J10" s="115"/>
    </row>
    <row r="11" spans="1:13" ht="123.75" customHeight="1" thickBot="1" x14ac:dyDescent="0.3">
      <c r="A11" s="104" t="s">
        <v>6</v>
      </c>
      <c r="B11" s="105" t="s">
        <v>50</v>
      </c>
      <c r="C11" s="116" t="s">
        <v>85</v>
      </c>
      <c r="D11" s="159" t="s">
        <v>84</v>
      </c>
      <c r="E11" s="117" t="s">
        <v>84</v>
      </c>
      <c r="F11" s="108">
        <f>ROUND((3985.29 *0.0111+3985.29*0.0257*4),2)</f>
        <v>453.92</v>
      </c>
      <c r="I11" s="115"/>
      <c r="J11" s="115"/>
    </row>
    <row r="12" spans="1:13" ht="147" hidden="1" customHeight="1" x14ac:dyDescent="0.25">
      <c r="A12" s="104"/>
      <c r="B12" s="116"/>
      <c r="C12" s="118"/>
      <c r="D12" s="119"/>
      <c r="E12" s="113"/>
      <c r="F12" s="120"/>
      <c r="G12" s="114"/>
      <c r="I12" s="121"/>
      <c r="J12" s="115"/>
    </row>
    <row r="13" spans="1:13" ht="19.5" customHeight="1" thickBot="1" x14ac:dyDescent="0.3">
      <c r="A13" s="122"/>
      <c r="B13" s="226" t="s">
        <v>51</v>
      </c>
      <c r="C13" s="227"/>
      <c r="D13" s="228"/>
      <c r="E13" s="113"/>
      <c r="F13" s="123">
        <f>ROUND(SUM(F9:F12),2)</f>
        <v>72323.53</v>
      </c>
      <c r="G13" s="124"/>
      <c r="H13" s="125"/>
      <c r="I13" s="126"/>
      <c r="J13" s="126"/>
      <c r="K13" s="127"/>
      <c r="L13" s="127"/>
      <c r="M13" s="127"/>
    </row>
    <row r="14" spans="1:13" ht="34.5" customHeight="1" thickBot="1" x14ac:dyDescent="0.3">
      <c r="A14" s="122"/>
      <c r="B14" s="229" t="s">
        <v>59</v>
      </c>
      <c r="C14" s="229"/>
      <c r="D14" s="229"/>
      <c r="E14" s="229"/>
      <c r="F14" s="128">
        <f>ROUND(F13*3.596,2)</f>
        <v>260075.41</v>
      </c>
      <c r="G14" s="129"/>
      <c r="H14" s="125"/>
      <c r="I14" s="126"/>
      <c r="J14" s="126"/>
      <c r="K14" s="127"/>
      <c r="L14" s="127"/>
      <c r="M14" s="127"/>
    </row>
    <row r="15" spans="1:13" ht="18" customHeight="1" thickBot="1" x14ac:dyDescent="0.3">
      <c r="A15" s="217" t="s">
        <v>52</v>
      </c>
      <c r="B15" s="217"/>
      <c r="C15" s="217"/>
      <c r="D15" s="217"/>
      <c r="E15" s="217"/>
      <c r="F15" s="130"/>
      <c r="G15" s="131"/>
      <c r="H15" s="132"/>
      <c r="I15" s="115"/>
      <c r="J15" s="131"/>
    </row>
    <row r="16" spans="1:13" ht="22.5" customHeight="1" thickBot="1" x14ac:dyDescent="0.3">
      <c r="A16" s="231" t="s">
        <v>53</v>
      </c>
      <c r="B16" s="231"/>
      <c r="C16" s="231"/>
      <c r="D16" s="231"/>
      <c r="E16" s="231"/>
      <c r="F16" s="133">
        <f>ROUND(F14+F15,2)</f>
        <v>260075.41</v>
      </c>
      <c r="G16" s="129"/>
      <c r="H16" s="129"/>
      <c r="I16" s="115"/>
      <c r="J16" s="131"/>
    </row>
    <row r="17" spans="1:10" ht="22.5" customHeight="1" thickBot="1" x14ac:dyDescent="0.3">
      <c r="A17" s="98"/>
      <c r="B17" s="223" t="s">
        <v>57</v>
      </c>
      <c r="C17" s="224"/>
      <c r="D17" s="224"/>
      <c r="E17" s="224"/>
      <c r="F17" s="225"/>
      <c r="G17" s="129"/>
      <c r="H17" s="129"/>
      <c r="I17" s="115"/>
      <c r="J17" s="131"/>
    </row>
    <row r="18" spans="1:10" ht="165" customHeight="1" thickBot="1" x14ac:dyDescent="0.3">
      <c r="A18" s="104" t="s">
        <v>8</v>
      </c>
      <c r="B18" s="176" t="s">
        <v>141</v>
      </c>
      <c r="C18" s="107" t="s">
        <v>88</v>
      </c>
      <c r="D18" s="108" t="s">
        <v>89</v>
      </c>
      <c r="E18" s="106"/>
      <c r="F18" s="108">
        <f>(27+1.604*469.9)*0.12*1.45*0.6*1000</f>
        <v>81507.126239999998</v>
      </c>
      <c r="G18" s="129">
        <f xml:space="preserve"> (25*0.01+31.4*0.01+7.1/2+3.2+3.5+1.2)/100</f>
        <v>0.12014</v>
      </c>
      <c r="H18" s="129"/>
      <c r="I18" s="115"/>
      <c r="J18" s="131"/>
    </row>
    <row r="19" spans="1:10" ht="22.5" customHeight="1" thickBot="1" x14ac:dyDescent="0.3">
      <c r="A19" s="122"/>
      <c r="B19" s="226" t="s">
        <v>51</v>
      </c>
      <c r="C19" s="227"/>
      <c r="D19" s="228"/>
      <c r="E19" s="113"/>
      <c r="F19" s="123">
        <f>ROUND(SUM(F18:F18),2)</f>
        <v>81507.13</v>
      </c>
      <c r="G19" s="129"/>
      <c r="H19" s="129"/>
      <c r="I19" s="115"/>
      <c r="J19" s="131"/>
    </row>
    <row r="20" spans="1:10" ht="43.5" customHeight="1" thickBot="1" x14ac:dyDescent="0.3">
      <c r="A20" s="122"/>
      <c r="B20" s="229" t="s">
        <v>151</v>
      </c>
      <c r="C20" s="229"/>
      <c r="D20" s="229"/>
      <c r="E20" s="229"/>
      <c r="F20" s="128">
        <f>ROUND(F19*3.63,2)</f>
        <v>295870.88</v>
      </c>
      <c r="G20" s="129"/>
      <c r="H20" s="129"/>
      <c r="I20" s="115"/>
      <c r="J20" s="131"/>
    </row>
    <row r="21" spans="1:10" ht="22.5" customHeight="1" thickBot="1" x14ac:dyDescent="0.3">
      <c r="A21" s="217" t="s">
        <v>52</v>
      </c>
      <c r="B21" s="217"/>
      <c r="C21" s="217"/>
      <c r="D21" s="217"/>
      <c r="E21" s="217"/>
      <c r="F21" s="130"/>
      <c r="G21" s="129"/>
      <c r="H21" s="129"/>
      <c r="I21" s="115"/>
      <c r="J21" s="131"/>
    </row>
    <row r="22" spans="1:10" ht="22.5" customHeight="1" thickBot="1" x14ac:dyDescent="0.3">
      <c r="A22" s="231" t="s">
        <v>53</v>
      </c>
      <c r="B22" s="231"/>
      <c r="C22" s="231"/>
      <c r="D22" s="231"/>
      <c r="E22" s="231"/>
      <c r="F22" s="133">
        <f>ROUND(F20+F21,2)</f>
        <v>295870.88</v>
      </c>
      <c r="G22" s="129"/>
      <c r="H22" s="129"/>
      <c r="I22" s="115"/>
      <c r="J22" s="131"/>
    </row>
    <row r="23" spans="1:10" ht="22.5" customHeight="1" x14ac:dyDescent="0.25">
      <c r="A23" s="134"/>
      <c r="B23" s="134"/>
      <c r="C23" s="134"/>
      <c r="D23" s="134"/>
      <c r="E23" s="134"/>
      <c r="F23" s="158"/>
      <c r="G23" s="129"/>
      <c r="H23" s="129"/>
      <c r="I23" s="115"/>
      <c r="J23" s="131"/>
    </row>
    <row r="24" spans="1:10" ht="22.5" customHeight="1" x14ac:dyDescent="0.25">
      <c r="A24" s="134"/>
      <c r="B24" s="134"/>
      <c r="C24" s="134"/>
      <c r="D24" s="134"/>
      <c r="E24" s="134"/>
      <c r="F24" s="158"/>
      <c r="G24" s="129"/>
      <c r="H24" s="129"/>
      <c r="I24" s="115"/>
      <c r="J24" s="131"/>
    </row>
    <row r="25" spans="1:10" ht="22.5" customHeight="1" x14ac:dyDescent="0.25">
      <c r="A25" s="134"/>
      <c r="B25" s="134"/>
      <c r="C25" s="134"/>
      <c r="D25" s="134"/>
      <c r="E25" s="134"/>
      <c r="F25" s="158"/>
      <c r="G25" s="129"/>
      <c r="H25" s="129"/>
      <c r="I25" s="115"/>
      <c r="J25" s="131"/>
    </row>
    <row r="26" spans="1:10" ht="22.5" customHeight="1" x14ac:dyDescent="0.25">
      <c r="A26" s="174" t="s">
        <v>54</v>
      </c>
      <c r="B26" s="81"/>
      <c r="D26" s="134"/>
      <c r="E26" s="134"/>
      <c r="F26" s="158"/>
      <c r="G26" s="129"/>
      <c r="H26" s="129"/>
      <c r="I26" s="115"/>
      <c r="J26" s="131"/>
    </row>
    <row r="27" spans="1:10" ht="22.5" customHeight="1" x14ac:dyDescent="0.25">
      <c r="A27" s="174"/>
      <c r="B27" s="81"/>
      <c r="C27" s="83" t="s">
        <v>16</v>
      </c>
      <c r="D27" s="134"/>
      <c r="E27" s="134"/>
      <c r="F27" s="158"/>
      <c r="G27" s="129"/>
      <c r="H27" s="129"/>
      <c r="I27" s="115"/>
      <c r="J27" s="131"/>
    </row>
    <row r="28" spans="1:10" ht="22.5" customHeight="1" x14ac:dyDescent="0.25">
      <c r="A28" s="230" t="s">
        <v>19</v>
      </c>
      <c r="B28" s="230"/>
      <c r="C28" s="230"/>
      <c r="D28" s="134"/>
      <c r="E28" s="134"/>
      <c r="F28" s="158"/>
      <c r="G28" s="129"/>
      <c r="H28" s="129"/>
      <c r="I28" s="115"/>
      <c r="J28" s="131"/>
    </row>
    <row r="29" spans="1:10" ht="22.5" customHeight="1" x14ac:dyDescent="0.25">
      <c r="A29" s="134"/>
      <c r="B29" s="134"/>
      <c r="C29" s="134"/>
      <c r="D29" s="134"/>
      <c r="E29" s="134"/>
      <c r="F29" s="158"/>
      <c r="G29" s="129"/>
      <c r="H29" s="129"/>
      <c r="I29" s="115"/>
      <c r="J29" s="131"/>
    </row>
    <row r="30" spans="1:10" ht="22.5" customHeight="1" x14ac:dyDescent="0.25">
      <c r="A30" s="134"/>
      <c r="B30" s="134"/>
      <c r="C30" s="134"/>
      <c r="D30" s="134"/>
      <c r="E30" s="134"/>
      <c r="F30" s="158"/>
      <c r="G30" s="129"/>
      <c r="H30" s="129"/>
      <c r="I30" s="115"/>
      <c r="J30" s="131"/>
    </row>
    <row r="31" spans="1:10" ht="22.5" customHeight="1" x14ac:dyDescent="0.25">
      <c r="A31" s="134"/>
      <c r="B31" s="134"/>
      <c r="C31" s="134"/>
      <c r="D31" s="134"/>
      <c r="E31" s="134"/>
      <c r="F31" s="158"/>
      <c r="G31" s="129"/>
      <c r="H31" s="129"/>
      <c r="I31" s="115"/>
      <c r="J31" s="131"/>
    </row>
    <row r="32" spans="1:10" ht="22.5" customHeight="1" x14ac:dyDescent="0.25">
      <c r="A32" s="134"/>
      <c r="B32" s="134"/>
      <c r="C32" s="134"/>
      <c r="D32" s="134"/>
      <c r="E32" s="134"/>
      <c r="F32" s="158"/>
      <c r="G32" s="129"/>
      <c r="H32" s="129"/>
      <c r="I32" s="115"/>
      <c r="J32" s="131"/>
    </row>
    <row r="33" spans="1:10" ht="12.75" customHeight="1" x14ac:dyDescent="0.25">
      <c r="A33" s="134"/>
      <c r="B33" s="134"/>
      <c r="C33" s="134"/>
      <c r="D33" s="134"/>
      <c r="E33" s="134"/>
      <c r="F33" s="135"/>
      <c r="H33" s="129"/>
      <c r="I33" s="115"/>
      <c r="J33" s="131"/>
    </row>
    <row r="34" spans="1:10" ht="16.5" customHeight="1" x14ac:dyDescent="0.25">
      <c r="A34" s="136"/>
      <c r="B34" s="81"/>
      <c r="G34" s="129"/>
      <c r="J34" s="129"/>
    </row>
    <row r="35" spans="1:10" x14ac:dyDescent="0.25">
      <c r="A35" s="136"/>
      <c r="B35" s="81"/>
    </row>
    <row r="36" spans="1:10" x14ac:dyDescent="0.25">
      <c r="A36" s="230"/>
      <c r="B36" s="230"/>
      <c r="C36" s="230"/>
      <c r="F36" s="137"/>
      <c r="G36" s="138"/>
      <c r="I36" s="139"/>
      <c r="J36" s="129"/>
    </row>
    <row r="37" spans="1:10" x14ac:dyDescent="0.25">
      <c r="A37" s="81"/>
      <c r="B37" s="81"/>
      <c r="C37" s="83" t="s">
        <v>55</v>
      </c>
      <c r="F37" s="140"/>
    </row>
    <row r="38" spans="1:10" x14ac:dyDescent="0.25">
      <c r="A38" s="81"/>
      <c r="B38" s="81"/>
      <c r="F38" s="140"/>
    </row>
    <row r="39" spans="1:10" x14ac:dyDescent="0.25">
      <c r="A39" s="81"/>
      <c r="B39" s="81"/>
      <c r="F39" s="140"/>
    </row>
    <row r="40" spans="1:10" x14ac:dyDescent="0.25">
      <c r="A40" s="81"/>
      <c r="B40" s="81"/>
      <c r="F40" s="140"/>
    </row>
    <row r="41" spans="1:10" x14ac:dyDescent="0.25">
      <c r="A41" s="81"/>
      <c r="B41" s="81"/>
      <c r="F41" s="140"/>
    </row>
    <row r="42" spans="1:10" x14ac:dyDescent="0.25">
      <c r="A42" s="81"/>
      <c r="B42" s="81"/>
      <c r="F42" s="140"/>
    </row>
  </sheetData>
  <mergeCells count="14">
    <mergeCell ref="A16:E16"/>
    <mergeCell ref="A36:C36"/>
    <mergeCell ref="A5:F5"/>
    <mergeCell ref="A6:F6"/>
    <mergeCell ref="B8:F8"/>
    <mergeCell ref="B13:D13"/>
    <mergeCell ref="B14:E14"/>
    <mergeCell ref="A15:E15"/>
    <mergeCell ref="B17:F17"/>
    <mergeCell ref="B19:D19"/>
    <mergeCell ref="B20:E20"/>
    <mergeCell ref="A21:E21"/>
    <mergeCell ref="A22:E22"/>
    <mergeCell ref="A28:C28"/>
  </mergeCells>
  <pageMargins left="0.7" right="0.7" top="0.48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ПРОТОКОЛ</vt:lpstr>
      <vt:lpstr>РН(М)Ц</vt:lpstr>
      <vt:lpstr>Обследование №1</vt:lpstr>
      <vt:lpstr>Проект+РД № 1</vt:lpstr>
      <vt:lpstr>обследование научно-иссл.№2</vt:lpstr>
      <vt:lpstr>Проект+РД №2</vt:lpstr>
      <vt:lpstr>'Обследование №1'!Область_печати</vt:lpstr>
      <vt:lpstr>'обследование научно-иссл.№2'!Область_печати</vt:lpstr>
      <vt:lpstr>'Проект+РД № 1'!Область_печати</vt:lpstr>
      <vt:lpstr>'Проект+РД №2'!Область_печати</vt:lpstr>
      <vt:lpstr>ПРОТОКОЛ!Область_печати</vt:lpstr>
      <vt:lpstr>'РН(М)Ц'!Область_печати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escimos</dc:creator>
  <cp:lastModifiedBy>user</cp:lastModifiedBy>
  <cp:lastPrinted>2017-09-15T12:35:40Z</cp:lastPrinted>
  <dcterms:created xsi:type="dcterms:W3CDTF">2009-05-06T15:48:51Z</dcterms:created>
  <dcterms:modified xsi:type="dcterms:W3CDTF">2017-10-11T12:36:31Z</dcterms:modified>
</cp:coreProperties>
</file>