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100\Desktop\"/>
    </mc:Choice>
  </mc:AlternateContent>
  <bookViews>
    <workbookView xWindow="0" yWindow="0" windowWidth="9570" windowHeight="4050"/>
  </bookViews>
  <sheets>
    <sheet name="Лист1" sheetId="1" r:id="rId1"/>
    <sheet name="Размер скидок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F8" i="1"/>
  <c r="E8" i="1"/>
  <c r="F7" i="1"/>
  <c r="E7" i="1"/>
  <c r="F6" i="1"/>
  <c r="E6" i="1"/>
  <c r="F76" i="1" l="1"/>
  <c r="E76" i="1"/>
  <c r="D76" i="1"/>
  <c r="F72" i="1"/>
  <c r="E72" i="1"/>
  <c r="D72" i="1"/>
  <c r="D70" i="1"/>
  <c r="F80" i="1" l="1"/>
  <c r="E80" i="1"/>
  <c r="D80" i="1"/>
  <c r="F79" i="1"/>
  <c r="E79" i="1"/>
  <c r="D79" i="1"/>
  <c r="F78" i="1"/>
  <c r="E78" i="1"/>
  <c r="D78" i="1"/>
  <c r="F81" i="1"/>
  <c r="F77" i="1"/>
  <c r="F75" i="1"/>
  <c r="F74" i="1"/>
  <c r="F73" i="1"/>
  <c r="F71" i="1"/>
  <c r="F70" i="1"/>
  <c r="F69" i="1"/>
  <c r="E81" i="1"/>
  <c r="E77" i="1"/>
  <c r="E75" i="1"/>
  <c r="E74" i="1"/>
  <c r="E73" i="1"/>
  <c r="E71" i="1"/>
  <c r="E70" i="1"/>
  <c r="E69" i="1"/>
  <c r="D81" i="1"/>
  <c r="D77" i="1"/>
  <c r="D75" i="1"/>
  <c r="D74" i="1"/>
  <c r="D73" i="1"/>
  <c r="D71" i="1"/>
  <c r="D69" i="1"/>
  <c r="F19" i="1" l="1"/>
  <c r="E19" i="1"/>
  <c r="F149" i="1"/>
  <c r="E149" i="1"/>
  <c r="E124" i="1"/>
  <c r="F124" i="1"/>
  <c r="F105" i="1"/>
  <c r="F112" i="1" l="1"/>
  <c r="F110" i="1"/>
  <c r="E112" i="1"/>
  <c r="E111" i="1"/>
  <c r="F111" i="1"/>
  <c r="F152" i="1"/>
  <c r="E152" i="1"/>
  <c r="F153" i="1"/>
  <c r="F151" i="1"/>
  <c r="F150" i="1"/>
  <c r="F148" i="1"/>
  <c r="F147" i="1"/>
  <c r="F146" i="1"/>
  <c r="F145" i="1"/>
  <c r="F144" i="1"/>
  <c r="F143" i="1"/>
  <c r="E153" i="1"/>
  <c r="E151" i="1"/>
  <c r="E150" i="1"/>
  <c r="E148" i="1"/>
  <c r="E147" i="1"/>
  <c r="E146" i="1"/>
  <c r="E145" i="1"/>
  <c r="E144" i="1"/>
  <c r="E143" i="1"/>
  <c r="F140" i="1"/>
  <c r="F139" i="1"/>
  <c r="E140" i="1"/>
  <c r="E139" i="1"/>
  <c r="F130" i="1"/>
  <c r="F129" i="1"/>
  <c r="E130" i="1"/>
  <c r="E129" i="1"/>
  <c r="F126" i="1"/>
  <c r="F125" i="1"/>
  <c r="F123" i="1"/>
  <c r="F122" i="1"/>
  <c r="F121" i="1"/>
  <c r="F120" i="1"/>
  <c r="F119" i="1"/>
  <c r="F118" i="1"/>
  <c r="F117" i="1"/>
  <c r="F116" i="1"/>
  <c r="E126" i="1"/>
  <c r="E125" i="1"/>
  <c r="E123" i="1"/>
  <c r="E122" i="1"/>
  <c r="E121" i="1"/>
  <c r="E120" i="1"/>
  <c r="E119" i="1"/>
  <c r="E118" i="1"/>
  <c r="E117" i="1"/>
  <c r="E116" i="1"/>
  <c r="F113" i="1"/>
  <c r="F109" i="1"/>
  <c r="F108" i="1"/>
  <c r="F107" i="1"/>
  <c r="F106" i="1"/>
  <c r="E105" i="1"/>
  <c r="E113" i="1"/>
  <c r="E110" i="1"/>
  <c r="E109" i="1"/>
  <c r="E108" i="1"/>
  <c r="E107" i="1"/>
  <c r="E106" i="1"/>
  <c r="F104" i="1"/>
  <c r="E104" i="1"/>
  <c r="E91" i="1"/>
  <c r="C49" i="1" l="1"/>
  <c r="F18" i="1"/>
  <c r="F15" i="1"/>
  <c r="F14" i="1"/>
  <c r="D8" i="1"/>
  <c r="D7" i="1"/>
  <c r="D6" i="1"/>
  <c r="E18" i="1" l="1"/>
  <c r="E15" i="1"/>
  <c r="E14" i="1"/>
  <c r="C6" i="1"/>
  <c r="C8" i="1"/>
  <c r="C7" i="1"/>
  <c r="C45" i="1" l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D49" i="1"/>
  <c r="E49" i="1"/>
  <c r="F49" i="1"/>
  <c r="C50" i="1"/>
  <c r="D50" i="1"/>
  <c r="E50" i="1"/>
  <c r="F50" i="1"/>
  <c r="C52" i="1"/>
  <c r="D52" i="1"/>
  <c r="C53" i="1"/>
  <c r="D53" i="1"/>
  <c r="F59" i="1" l="1"/>
  <c r="F58" i="1"/>
  <c r="F57" i="1"/>
  <c r="F65" i="1"/>
  <c r="E65" i="1"/>
  <c r="D65" i="1"/>
  <c r="F62" i="1"/>
  <c r="E62" i="1"/>
  <c r="D62" i="1"/>
  <c r="F99" i="1"/>
  <c r="E99" i="1"/>
  <c r="D99" i="1"/>
  <c r="F98" i="1"/>
  <c r="E98" i="1"/>
  <c r="D98" i="1"/>
  <c r="F97" i="1"/>
  <c r="E97" i="1"/>
  <c r="D97" i="1"/>
  <c r="F96" i="1"/>
  <c r="E96" i="1"/>
  <c r="D96" i="1"/>
  <c r="F95" i="1"/>
  <c r="E95" i="1"/>
  <c r="D95" i="1"/>
  <c r="F94" i="1"/>
  <c r="E94" i="1"/>
  <c r="D94" i="1"/>
  <c r="F93" i="1"/>
  <c r="E93" i="1"/>
  <c r="D93" i="1"/>
  <c r="F92" i="1"/>
  <c r="E92" i="1"/>
  <c r="D92" i="1"/>
  <c r="F91" i="1"/>
  <c r="D91" i="1"/>
  <c r="F90" i="1"/>
  <c r="E90" i="1"/>
  <c r="D90" i="1"/>
  <c r="F89" i="1"/>
  <c r="E89" i="1"/>
  <c r="D89" i="1"/>
  <c r="F88" i="1"/>
  <c r="E88" i="1"/>
  <c r="D88" i="1"/>
  <c r="F36" i="1"/>
  <c r="F33" i="1"/>
  <c r="F30" i="1"/>
  <c r="F29" i="1"/>
  <c r="F26" i="1"/>
  <c r="E26" i="1"/>
  <c r="F24" i="1"/>
  <c r="F23" i="1"/>
</calcChain>
</file>

<file path=xl/sharedStrings.xml><?xml version="1.0" encoding="utf-8"?>
<sst xmlns="http://schemas.openxmlformats.org/spreadsheetml/2006/main" count="184" uniqueCount="120">
  <si>
    <t>Материалы акриловые. TY BY 691419868.005-2012</t>
  </si>
  <si>
    <t>Краски серии «ProfAcryl» применяются как для внутренних, так и наружных работ. Наносятся валиком, кистью, краскораспылителем.   Колеруются в более чем 4790 оттенков. Допускается подколеровка краски водными пигментными пастами. Расход на однослойное покрытие 110-150 г/м.</t>
  </si>
  <si>
    <t>Евроведро 25 кг (цена за кг.)</t>
  </si>
  <si>
    <t>Евроведро 15 кг. (цена за кг.)</t>
  </si>
  <si>
    <t>Евроведро 5 кг.      (цена за ведро)</t>
  </si>
  <si>
    <t>Евроведро 3 кг.      (цена за ведро)</t>
  </si>
  <si>
    <t>зеленая</t>
  </si>
  <si>
    <t>Фактурная краска "ProfAcryl". TY BY 691419868.005-2012</t>
  </si>
  <si>
    <t xml:space="preserve">Фактурная для окраски фасада "ProfAcryl 120" (Белая. Колеруется). </t>
  </si>
  <si>
    <t xml:space="preserve">Фактурная для окраски интерьера "ProfAcryl 220" (Белая. Колеруется). </t>
  </si>
  <si>
    <t>Грунтовка "ProfAcryl" TY BY 691419868.005-2012</t>
  </si>
  <si>
    <t xml:space="preserve">Предназначается для закрепления поверхности перед покраской, уменьшения расхода краски и увеличения сцепляемости краски с поверхностью (шифер, асбоцемент, каменная кладка, штукатурка бетон, гипсокортон и т.д.). Подходит для наружных и внутренних работ. </t>
  </si>
  <si>
    <t>Канистра ПЭ 10 кг. (цена за кг)</t>
  </si>
  <si>
    <r>
      <rPr>
        <b/>
        <sz val="16"/>
        <color theme="9"/>
        <rFont val="Times New Roman"/>
        <family val="1"/>
        <charset val="204"/>
      </rPr>
      <t>«ProfAcryl 120 Фасадная»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</t>
    </r>
    <r>
      <rPr>
        <sz val="10"/>
        <color theme="1"/>
        <rFont val="Times New Roman"/>
        <family val="1"/>
        <charset val="204"/>
      </rPr>
      <t>Краска фасадная водно-дисперсионная  Для наружной и внутренней окраски зданий и сооружений по бетонным, кирпичным и другим пористым поверхностям. (Белая. Колеруется).</t>
    </r>
  </si>
  <si>
    <r>
      <rPr>
        <b/>
        <sz val="16"/>
        <color theme="9"/>
        <rFont val="Times New Roman"/>
        <family val="1"/>
        <charset val="204"/>
      </rPr>
      <t xml:space="preserve">«ProfAcryl 220 Интерьерная»  </t>
    </r>
    <r>
      <rPr>
        <b/>
        <sz val="11"/>
        <color theme="1"/>
        <rFont val="Times New Roman"/>
        <family val="1"/>
        <charset val="204"/>
      </rPr>
      <t xml:space="preserve">                                         </t>
    </r>
    <r>
      <rPr>
        <sz val="10"/>
        <color theme="1"/>
        <rFont val="Times New Roman"/>
        <family val="1"/>
        <charset val="204"/>
      </rPr>
      <t xml:space="preserve">Краска интерьерная водно-дисперсионная . Для стен и потолков.  (Белая. Колеруется). </t>
    </r>
  </si>
  <si>
    <r>
      <rPr>
        <b/>
        <sz val="16"/>
        <color theme="9"/>
        <rFont val="Times New Roman"/>
        <family val="1"/>
        <charset val="204"/>
      </rPr>
      <t>«ProfAcryl 122 Ультра белая»</t>
    </r>
    <r>
      <rPr>
        <b/>
        <sz val="11"/>
        <color theme="1"/>
        <rFont val="Times New Roman"/>
        <family val="1"/>
        <charset val="204"/>
      </rPr>
      <t xml:space="preserve">                                             </t>
    </r>
    <r>
      <rPr>
        <sz val="10"/>
        <color theme="1"/>
        <rFont val="Times New Roman"/>
        <family val="1"/>
        <charset val="204"/>
      </rPr>
      <t>повышенной белизны. Ультра белая краска предназначается для наружной и внутренней окраски по бетонным, кирпичным, и другим пористым поверхностям.</t>
    </r>
  </si>
  <si>
    <r>
      <rPr>
        <b/>
        <sz val="16"/>
        <color rgb="FF00B050"/>
        <rFont val="Times New Roman"/>
        <family val="1"/>
        <charset val="204"/>
      </rPr>
      <t>«ProfAcryl 010»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Грунтовка водно дисперсионная. Для наружных и внутренних работ.</t>
    </r>
  </si>
  <si>
    <r>
      <rPr>
        <b/>
        <sz val="16"/>
        <color rgb="FF00B050"/>
        <rFont val="Times New Roman"/>
        <family val="1"/>
        <charset val="204"/>
      </rPr>
      <t>«ProfAcryl 011 концентрат 1:3»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Грунтовка водно дисперсионная концентрат. Для наружных и внутренних работ.</t>
    </r>
  </si>
  <si>
    <r>
      <rPr>
        <b/>
        <sz val="16"/>
        <color rgb="FF00B050"/>
        <rFont val="Times New Roman"/>
        <family val="1"/>
        <charset val="204"/>
      </rPr>
      <t xml:space="preserve">«ProfAcryl 012 укрывающая»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Грунтовка укрывающая. Предназначена для использования в качестве грунтовочного укрывающего слоя пористых поверхностей.</t>
    </r>
  </si>
  <si>
    <t>Эмаль ПФ-115 ГОСТ 6465-76</t>
  </si>
  <si>
    <t>банка 2 кг            (цена за банку)</t>
  </si>
  <si>
    <t>банка 0,9 кг                     (цена за банку)</t>
  </si>
  <si>
    <t>Эмаль ПФ-266 для пола TY BY 691419868.004-2015</t>
  </si>
  <si>
    <t>Эмаль ПФ-266 применяется при строительстве и ремонте для покрытия окрашенных и неокрашенных деревянных полов по предварительно подготовленной поверхности. Расход эмали на однослойное покрытие 120-200 г/м.куб. Время высыхания 24 часа при температуре 20 °С</t>
  </si>
  <si>
    <t>желто-коричневый, красно-коричневый</t>
  </si>
  <si>
    <t>Грунтовка ГФ-021 ГОСТ 25129-82</t>
  </si>
  <si>
    <t>светло-серый</t>
  </si>
  <si>
    <t>красно-коричневый</t>
  </si>
  <si>
    <t>Грунтовка ГФ-0119 ГОСТ 23343-78</t>
  </si>
  <si>
    <t>Грунтовка ГФ-0119 предназначена для грунтования металлических и деревянных поверхностей под покрытие различными эмалями и временной защиты от коррозии крупногабаритных металлических конструкций.Время высыхания одногослойного покрытия при 20°С 12 часов.</t>
  </si>
  <si>
    <t>банка 2 кг                      (цена за банку)</t>
  </si>
  <si>
    <t>ведро 25 кг.                      (цена за кг.)</t>
  </si>
  <si>
    <t>ведро 25 кг.                                     (цена за кг.)</t>
  </si>
  <si>
    <t>Эмаль ПФ-115 используется для окрашивания поверхностей из металла, дерева и других материалов, как для наружных, так и для внутренних работ. Время высыхания одного слоя 24 часа(при температуре 20-22 °С). Расход эмали - около 100-180 г/м.</t>
  </si>
  <si>
    <t>Растворитель</t>
  </si>
  <si>
    <t>Канистра ПЭ 8 кг. (цена за кг)</t>
  </si>
  <si>
    <t>Р-646 (пр-во РБ,РФ)</t>
  </si>
  <si>
    <t>Эмаль для разметки дорог АК-501 СТБ 1520-2008</t>
  </si>
  <si>
    <t>белый</t>
  </si>
  <si>
    <t>Краска для бетонных полов</t>
  </si>
  <si>
    <t>Краска применяется для окраски бетона и бетонных поверхностей, для создания высокопрочного поверхностного слоя промышленных бетонных полов, обеспечивает надёжную защиту бетонного пола и продлевает срок его эксплуатации.</t>
  </si>
  <si>
    <t>Серый (RAL 7040)</t>
  </si>
  <si>
    <t>Состав "Антипыль" для бетона</t>
  </si>
  <si>
    <t>Пропитка для бетонного пола необходима для защиты основания пола от воздействия химических веществ и иных агрессивных сред, обеспыливания поверхности и придания ей дополнительной прочности и долговечности, современным языком антипыль или антипылевое покрытие пола. Эту роль и выполняет пропитка.</t>
  </si>
  <si>
    <t>бесцветный</t>
  </si>
  <si>
    <t>ведро 30 кг.                                     (цена за кг.)</t>
  </si>
  <si>
    <t>Качественный растворитель, легко смешиваться с краской до однородного состояния, после нанесения красителя или лака быстро улетучиваться.</t>
  </si>
  <si>
    <t>Декоративно-защитный состав для древесины "WoodTex"</t>
  </si>
  <si>
    <t>евроведро 20 кг.                                     (цена за кг.)</t>
  </si>
  <si>
    <t>евроведро 10 кг.                                     (цена за кг.)</t>
  </si>
  <si>
    <t>евроведро 3 кг.                                     (цена за ведро.)</t>
  </si>
  <si>
    <t>Сосна</t>
  </si>
  <si>
    <t>Красный кедр</t>
  </si>
  <si>
    <t>Орех</t>
  </si>
  <si>
    <t>Дуб</t>
  </si>
  <si>
    <t>Тик</t>
  </si>
  <si>
    <t>Махагон</t>
  </si>
  <si>
    <t>Палисандр</t>
  </si>
  <si>
    <t>Эбеновое дерево</t>
  </si>
  <si>
    <t>Рябина</t>
  </si>
  <si>
    <t>Зеленая ель</t>
  </si>
  <si>
    <t>Бесцветный</t>
  </si>
  <si>
    <t>Белый</t>
  </si>
  <si>
    <t>Декоративно-защитный состав для древесины "WoodTex ULTRA"</t>
  </si>
  <si>
    <r>
      <rPr>
        <b/>
        <sz val="11"/>
        <color theme="1"/>
        <rFont val="Calibri"/>
        <family val="2"/>
        <charset val="204"/>
        <scheme val="minor"/>
      </rPr>
      <t xml:space="preserve">Изготавливаются на органических пастах BASF (Германия).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Применяется для отделки и профилактической консервации неокрашенных деревянных строительных конструкций (стены, потолки, двери, оконные рамы, беседки, срубы, скамьи, изгороди, садовая мебель и др.)</t>
    </r>
  </si>
  <si>
    <t>Лак Алкидный</t>
  </si>
  <si>
    <r>
      <t xml:space="preserve">ЛАК ДЛЯ НАРУЖНЫХ И ВНУТРЕННИХ РАБОТ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Предназначается для наружной и внутренней отделки различный деревянных поверхностей, в том числе полов и паркета.
Полностью готов к применению.
Производить окраску возможно при любых температурах.
Возможно применение на ранее покрытые другими лаками поверхности.
</t>
    </r>
  </si>
  <si>
    <t>Лак Алкидно-уретановый (Паркетный)</t>
  </si>
  <si>
    <r>
      <t xml:space="preserve">ПАРКЕТНЫЙ АЛКИДНО-УРЕТАНОВЫЙ                            </t>
    </r>
    <r>
      <rPr>
        <sz val="11"/>
        <color theme="1"/>
        <rFont val="Calibri"/>
        <family val="2"/>
        <charset val="204"/>
        <scheme val="minor"/>
      </rPr>
      <t xml:space="preserve">Предназначается для наружной и внутренней отделки различный деревянных поверхностей, в том числе полов и паркета.
Полностью готов к применению.
Производить окраску возможно при любых температурах.
Прекрасная твёрдость сочетается с повышенной стойкостью к износу и атмосферостойкостью.
</t>
    </r>
  </si>
  <si>
    <t>Грунтовка ГФ-021 предназначена для грунтования металлических, деревянных и других поверхностей под покрытие различными эмалями.Покрытие отмосферостойкое, стойкое к воздействию морской и пресной воды. Время высыхания одногослойного покрытия при 20°С 12 часов</t>
  </si>
  <si>
    <r>
      <rPr>
        <b/>
        <sz val="11"/>
        <color theme="1"/>
        <rFont val="Calibri"/>
        <family val="2"/>
        <charset val="204"/>
        <scheme val="minor"/>
      </rPr>
      <t>Изготавливаются на органических пастах BASF (Германия). Содержит воск.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Применяется для отделки и профилактической консервации неокрашенных деревянных строительных конструкций (стены, потолки, двери, оконные рамы, беседки, срубы, скамьи, изгороди, садовая мебель и др.)</t>
    </r>
  </si>
  <si>
    <t>Нефрас (пр-во РБ,РФ)</t>
  </si>
  <si>
    <t>ведро 10 кг.                                     (цена за кг.)</t>
  </si>
  <si>
    <t xml:space="preserve">Толуол (пр-во РБ, РФ)  применяется для разбавления эмалей для разметки дорог и краски для бетонных полов. </t>
  </si>
  <si>
    <r>
      <rPr>
        <b/>
        <sz val="16"/>
        <color theme="9"/>
        <rFont val="Times New Roman"/>
        <family val="1"/>
        <charset val="204"/>
      </rPr>
      <t xml:space="preserve">«ProfAcryl 222 </t>
    </r>
    <r>
      <rPr>
        <sz val="16"/>
        <color theme="9"/>
        <rFont val="Times New Roman"/>
        <family val="1"/>
        <charset val="204"/>
      </rPr>
      <t>»</t>
    </r>
    <r>
      <rPr>
        <b/>
        <sz val="16"/>
        <color theme="9"/>
        <rFont val="Times New Roman"/>
        <family val="1"/>
        <charset val="204"/>
      </rPr>
      <t xml:space="preserve"> Интерьерная моющаяся</t>
    </r>
    <r>
      <rPr>
        <b/>
        <sz val="11"/>
        <color theme="1"/>
        <rFont val="Times New Roman"/>
        <family val="1"/>
        <charset val="204"/>
      </rPr>
      <t xml:space="preserve">                                </t>
    </r>
    <r>
      <rPr>
        <sz val="10"/>
        <color theme="1"/>
        <rFont val="Times New Roman"/>
        <family val="1"/>
        <charset val="204"/>
      </rPr>
      <t xml:space="preserve">Предназначена для внутренней окраски стен и потолков нуждающихся во влажной уборке, применима по бетонным, кирпичным и другим поверхностям, а также ДВП, ДСП, и гипсокартону . </t>
    </r>
  </si>
  <si>
    <t>Размер скидки в % для ПФ,ГФ,ЛАК,составляет от 13% до 18%</t>
  </si>
  <si>
    <t>Размер скидки на краски ProfAcryl, составляет от 13% до 20%</t>
  </si>
  <si>
    <t>Размер скидки на грунты акриловые составляет от 15% до 22%</t>
  </si>
  <si>
    <r>
      <rPr>
        <b/>
        <sz val="11"/>
        <color theme="1"/>
        <rFont val="Calibri"/>
        <family val="2"/>
        <charset val="204"/>
        <scheme val="minor"/>
      </rPr>
      <t xml:space="preserve">Грунт-эмаль «Polimet»     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Это самостоятельное однокомпонентное покрытие, сочетающее в себе свойства грунтовки и эмали. Время высыхания однослойного покрытия при температуре + 20°С- 1 час.
Расход грунт-эмали на однослойное покрытие в зависимости от цвета 80-120 г/м2
</t>
    </r>
  </si>
  <si>
    <t>Грунт-эмаль антикоррозионный быстросохнущий "POLIKOR"</t>
  </si>
  <si>
    <t>Грунт антикоррозионный быстросохнущий "POLIKOR-GRUNT"</t>
  </si>
  <si>
    <t>Грунт быстросохнущий "POLIMET-GRUNT"</t>
  </si>
  <si>
    <t>Грунт-эмаль быстросохнущая для металлических поверхностей "POLIMET"</t>
  </si>
  <si>
    <r>
      <rPr>
        <b/>
        <sz val="11"/>
        <color theme="1"/>
        <rFont val="Calibri"/>
        <family val="2"/>
        <charset val="204"/>
        <scheme val="minor"/>
      </rPr>
      <t>Грунт быстросохнущий  «Polimet grunt»</t>
    </r>
    <r>
      <rPr>
        <sz val="11"/>
        <color theme="1"/>
        <rFont val="Calibri"/>
        <family val="2"/>
        <charset val="204"/>
        <scheme val="minor"/>
      </rPr>
      <t xml:space="preserve">  Предназначен для грунтования металлических поверхностей эксплуатируемые в атмосферных условиях и внутри помещений, перед последующей их окраской. Время высыхания однослойного покрытия при температуре (20±2)°С- 1 час. Расход грунта на однослойное покрытие: 60-100 г/м2</t>
    </r>
  </si>
  <si>
    <t>Линейка быстросохнущих материалов "POLIMET"</t>
  </si>
  <si>
    <r>
      <rPr>
        <b/>
        <sz val="16"/>
        <color theme="9"/>
        <rFont val="Times New Roman"/>
        <family val="1"/>
        <charset val="204"/>
      </rPr>
      <t xml:space="preserve">«ProfAcryl 123 для крыш»   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sz val="10"/>
        <color theme="1"/>
        <rFont val="Times New Roman"/>
        <family val="1"/>
        <charset val="204"/>
      </rPr>
      <t>Краска фасадная водно-дисперсионная  Для окраски шифера, черепицы, а также цоколей зданий</t>
    </r>
    <r>
      <rPr>
        <b/>
        <sz val="10"/>
        <color theme="1"/>
        <rFont val="Times New Roman"/>
        <family val="1"/>
        <charset val="204"/>
      </rPr>
      <t>:красно-коричневая,  коричневая</t>
    </r>
  </si>
  <si>
    <t xml:space="preserve">Белая </t>
  </si>
  <si>
    <t>Линейка быстросохнущих антикоррозионных материалов</t>
  </si>
  <si>
    <t xml:space="preserve">светло-серый </t>
  </si>
  <si>
    <r>
      <t xml:space="preserve">Эмаль быстросохнущая атмосферостойкая Polisheen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Предназначена для ремонтных работ и промышленного применения. Для окрашивания стальных и чугунных поверхностей металлоконструкций. . Время высыхания однослойного покрытия при температуре (20±2)°С- 1 час. Расход эмали на однослойное покрытие: 80-120 г/м2.</t>
    </r>
  </si>
  <si>
    <r>
      <rPr>
        <b/>
        <sz val="11"/>
        <color theme="1"/>
        <rFont val="Calibri"/>
        <family val="2"/>
        <charset val="204"/>
        <scheme val="minor"/>
      </rPr>
      <t>Грунт быстросохнущий антикоррозионный «Polikor grunt»</t>
    </r>
    <r>
      <rPr>
        <sz val="11"/>
        <color theme="1"/>
        <rFont val="Calibri"/>
        <family val="2"/>
        <charset val="204"/>
        <scheme val="minor"/>
      </rPr>
      <t xml:space="preserve"> Предназначен для грунтования металлических поверхностей. эксплуатируемые в атмосферных условиях и внутри помещений, перед последующей их окраской, а так же для временной защиты от коррозии в однослойном покрытии. Время высыхания однослойного покрытия при температуре (20±2)°С- 1 час.
Расход грунта на однослойное покрытие: 60-100 г/м2.</t>
    </r>
  </si>
  <si>
    <t>Эмаль быстросохнущая атмосферостойкая "POLISHEEN"</t>
  </si>
  <si>
    <t>ведро 10 кг.                      (цена за кг.)</t>
  </si>
  <si>
    <t>ведро 20 кг.                                     (цена за кг.)</t>
  </si>
  <si>
    <t xml:space="preserve">желтый </t>
  </si>
  <si>
    <t>Эмаль предназначена для разметки автомобильных дорог общего пользования, парковок, АЗС, а также для обозначения искусственных неровностей («лежачих полицейских»). Время высыхания одного слоя эмали – 5-10 минут (при температуре 20-22°С). Расход эмали 500-900 г\м.кв.</t>
  </si>
  <si>
    <t>Мореный дуб</t>
  </si>
  <si>
    <t>Коричневый</t>
  </si>
  <si>
    <t>Светло-серый</t>
  </si>
  <si>
    <t>Оранжевый</t>
  </si>
  <si>
    <t>Зеленый</t>
  </si>
  <si>
    <t>Черный</t>
  </si>
  <si>
    <t>Синий</t>
  </si>
  <si>
    <t>Красный</t>
  </si>
  <si>
    <t>Желтый</t>
  </si>
  <si>
    <t>Серый</t>
  </si>
  <si>
    <t>Размер скидки на БЫСТРОСОХИ от     % до  %</t>
  </si>
  <si>
    <t xml:space="preserve">Светло-серый </t>
  </si>
  <si>
    <t>ведро 15 кг.                                     (цена за кг.)</t>
  </si>
  <si>
    <t>ЦЕНЫ к прайсу 10% и с НДС от старого первого п/листа</t>
  </si>
  <si>
    <t>Красно-коричневый</t>
  </si>
  <si>
    <t>ПРАЙС-ЛИСТ (франко-склад назначения)</t>
  </si>
  <si>
    <t>цены указаны в рублях РБ с учетом стоимости тары без НДС</t>
  </si>
  <si>
    <t>белый, желтый, красный,  салатовый, голубой, фисташка, бежевый,               красно-коричневый</t>
  </si>
  <si>
    <r>
      <t>Грунт-эмаль предназначена для антикоррозионной защиты и окраски изделий из черного металла, дорожной и сельскохозяйственной техники, технологического оборудования, металлоконструкций (мостов, резервуаров, трубопроводов, пожарных лестниц и т.д.) эксплуатируемых в атмосферных условиях.  После высыхания образует ровное, однородное, полуглянцевое покрытие, устойчивое к изменению температуры от минус 40</t>
    </r>
    <r>
      <rPr>
        <vertAlign val="superscript"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>С до плюс 100</t>
    </r>
    <r>
      <rPr>
        <vertAlign val="superscript"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>С.
Время высыхания однослойного покрытия при температуре +20</t>
    </r>
    <r>
      <rPr>
        <vertAlign val="superscript"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>С  2,5 - 3 часa.
Расход грунт-эмали на однослойное покрытие в зависимости от цвета 80-120 г/м 2.</t>
    </r>
  </si>
  <si>
    <t>Скидка в % на пропитки WoodTex, составляет от (-35% себистоимость 0 с НДС) 10% до 15%</t>
  </si>
  <si>
    <t>Скидка в % на растворители, эмаль для дорог, краску для бетонных полов, состав антипыль, пропитки WoodTex ULTRA, составляет от 10% до 15%</t>
  </si>
  <si>
    <t>серый, светло-серый, черный, коричневый</t>
  </si>
  <si>
    <t>вишневый, оранжевый, синий, зеленый, бирюза, фиолетовый, слоновая кость, защитный</t>
  </si>
  <si>
    <r>
      <rPr>
        <b/>
        <sz val="13"/>
        <color theme="1"/>
        <rFont val="Calibri"/>
        <family val="2"/>
        <charset val="204"/>
        <scheme val="minor"/>
      </rPr>
      <t>ООО "Кловертекс"</t>
    </r>
    <r>
      <rPr>
        <sz val="13"/>
        <color theme="1"/>
        <rFont val="Calibri"/>
        <family val="2"/>
        <charset val="204"/>
        <scheme val="minor"/>
      </rPr>
      <t xml:space="preserve">-производитель ЛКМ                                                                                                                                                                            222720, Республика Беларусь, Минская обл., г. Дзержинск,                                                                                                                      ул.Фоминых 56 к.1.
Р/сч: BY32 OLMP 3012 1000 2703 4000 0933 в ЦБУ N 506 ОАО Белгазпромбанк г. Дзержинск 222720, г. Дзержинск, ул. Фурманова, 2 код OLMPBY2X   УНП:691419868      www.clovertex.by,           e-mail: info@clovertex.by     </t>
    </r>
    <r>
      <rPr>
        <sz val="13"/>
        <color theme="1"/>
        <rFont val="Calibri"/>
        <family val="2"/>
        <charset val="204"/>
        <scheme val="minor"/>
      </rPr>
      <t xml:space="preserve">8(01716) 5-79-49; 8 44) 7869825 Наталья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</si>
</sst>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theme="9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4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1" fillId="0" borderId="1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 shrinkToFit="1"/>
    </xf>
    <xf numFmtId="0" fontId="5" fillId="0" borderId="22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16" fillId="6" borderId="33" xfId="0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13" fillId="0" borderId="0" xfId="0" applyFont="1" applyBorder="1"/>
    <xf numFmtId="2" fontId="1" fillId="0" borderId="14" xfId="0" applyNumberFormat="1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/>
    </xf>
    <xf numFmtId="0" fontId="21" fillId="0" borderId="0" xfId="0" applyFont="1"/>
    <xf numFmtId="2" fontId="1" fillId="3" borderId="20" xfId="0" applyNumberFormat="1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/>
    </xf>
    <xf numFmtId="2" fontId="1" fillId="3" borderId="27" xfId="0" applyNumberFormat="1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29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" fillId="3" borderId="28" xfId="0" applyFont="1" applyFill="1" applyBorder="1" applyAlignment="1">
      <alignment horizontal="center" wrapText="1"/>
    </xf>
    <xf numFmtId="0" fontId="0" fillId="3" borderId="26" xfId="0" applyFill="1" applyBorder="1" applyAlignment="1">
      <alignment horizontal="center" wrapText="1"/>
    </xf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20" xfId="0" applyFont="1" applyBorder="1" applyAlignment="1">
      <alignment wrapText="1"/>
    </xf>
    <xf numFmtId="0" fontId="3" fillId="4" borderId="23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wrapText="1"/>
    </xf>
    <xf numFmtId="0" fontId="1" fillId="7" borderId="2" xfId="0" applyFont="1" applyFill="1" applyBorder="1" applyAlignment="1">
      <alignment wrapText="1"/>
    </xf>
    <xf numFmtId="0" fontId="1" fillId="7" borderId="3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0" fillId="7" borderId="2" xfId="0" applyFont="1" applyFill="1" applyBorder="1" applyAlignment="1">
      <alignment wrapText="1"/>
    </xf>
    <xf numFmtId="0" fontId="0" fillId="7" borderId="3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17" fillId="7" borderId="1" xfId="0" applyFont="1" applyFill="1" applyBorder="1" applyAlignment="1">
      <alignment wrapText="1"/>
    </xf>
    <xf numFmtId="0" fontId="17" fillId="7" borderId="2" xfId="0" applyFont="1" applyFill="1" applyBorder="1" applyAlignment="1">
      <alignment wrapText="1"/>
    </xf>
    <xf numFmtId="0" fontId="17" fillId="7" borderId="3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tiff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43</xdr:row>
      <xdr:rowOff>142875</xdr:rowOff>
    </xdr:from>
    <xdr:to>
      <xdr:col>3</xdr:col>
      <xdr:colOff>161925</xdr:colOff>
      <xdr:row>43</xdr:row>
      <xdr:rowOff>981075</xdr:rowOff>
    </xdr:to>
    <xdr:pic>
      <xdr:nvPicPr>
        <xdr:cNvPr id="5" name="Рисунок 4" descr="25kg_acryl_mi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2085975"/>
          <a:ext cx="13144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990600</xdr:colOff>
      <xdr:row>43</xdr:row>
      <xdr:rowOff>371475</xdr:rowOff>
    </xdr:from>
    <xdr:to>
      <xdr:col>4</xdr:col>
      <xdr:colOff>9525</xdr:colOff>
      <xdr:row>43</xdr:row>
      <xdr:rowOff>981074</xdr:rowOff>
    </xdr:to>
    <xdr:pic>
      <xdr:nvPicPr>
        <xdr:cNvPr id="6" name="Рисунок 5" descr="25kg_acryl_mi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314575"/>
          <a:ext cx="105727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43</xdr:row>
      <xdr:rowOff>504825</xdr:rowOff>
    </xdr:from>
    <xdr:to>
      <xdr:col>4</xdr:col>
      <xdr:colOff>942975</xdr:colOff>
      <xdr:row>43</xdr:row>
      <xdr:rowOff>952499</xdr:rowOff>
    </xdr:to>
    <xdr:pic>
      <xdr:nvPicPr>
        <xdr:cNvPr id="7" name="Рисунок 6" descr="25kg_acryl_mi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447925"/>
          <a:ext cx="904875" cy="44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123826</xdr:colOff>
      <xdr:row>43</xdr:row>
      <xdr:rowOff>619124</xdr:rowOff>
    </xdr:from>
    <xdr:to>
      <xdr:col>5</xdr:col>
      <xdr:colOff>828676</xdr:colOff>
      <xdr:row>43</xdr:row>
      <xdr:rowOff>942973</xdr:rowOff>
    </xdr:to>
    <xdr:pic>
      <xdr:nvPicPr>
        <xdr:cNvPr id="8" name="Рисунок 7" descr="25kg_acryl_mi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6" y="2562224"/>
          <a:ext cx="704850" cy="323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38100</xdr:colOff>
      <xdr:row>4</xdr:row>
      <xdr:rowOff>171450</xdr:rowOff>
    </xdr:from>
    <xdr:ext cx="962025" cy="762000"/>
    <xdr:pic>
      <xdr:nvPicPr>
        <xdr:cNvPr id="10" name="Рисунок 9" descr="53dbb9d3d703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924050"/>
          <a:ext cx="9620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133350</xdr:colOff>
      <xdr:row>4</xdr:row>
      <xdr:rowOff>247650</xdr:rowOff>
    </xdr:from>
    <xdr:ext cx="742950" cy="695325"/>
    <xdr:pic>
      <xdr:nvPicPr>
        <xdr:cNvPr id="11" name="Рисунок 10" descr="53dbb9d3d703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981200"/>
          <a:ext cx="7429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19050</xdr:colOff>
      <xdr:row>9</xdr:row>
      <xdr:rowOff>114300</xdr:rowOff>
    </xdr:from>
    <xdr:to>
      <xdr:col>5</xdr:col>
      <xdr:colOff>971550</xdr:colOff>
      <xdr:row>9</xdr:row>
      <xdr:rowOff>857250</xdr:rowOff>
    </xdr:to>
    <xdr:pic>
      <xdr:nvPicPr>
        <xdr:cNvPr id="15" name="Рисунок 14" descr="pf-266-mi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19725"/>
          <a:ext cx="952500" cy="742950"/>
        </a:xfrm>
        <a:prstGeom prst="rect">
          <a:avLst/>
        </a:prstGeom>
        <a:gradFill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</a:gradFill>
      </xdr:spPr>
    </xdr:pic>
    <xdr:clientData/>
  </xdr:twoCellAnchor>
  <xdr:oneCellAnchor>
    <xdr:from>
      <xdr:col>5</xdr:col>
      <xdr:colOff>28575</xdr:colOff>
      <xdr:row>12</xdr:row>
      <xdr:rowOff>266700</xdr:rowOff>
    </xdr:from>
    <xdr:ext cx="952500" cy="419101"/>
    <xdr:pic>
      <xdr:nvPicPr>
        <xdr:cNvPr id="16" name="Рисунок 15" descr="25kg_mini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7305675"/>
          <a:ext cx="952500" cy="419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57150</xdr:colOff>
      <xdr:row>27</xdr:row>
      <xdr:rowOff>152399</xdr:rowOff>
    </xdr:from>
    <xdr:to>
      <xdr:col>5</xdr:col>
      <xdr:colOff>971550</xdr:colOff>
      <xdr:row>27</xdr:row>
      <xdr:rowOff>962024</xdr:rowOff>
    </xdr:to>
    <xdr:pic>
      <xdr:nvPicPr>
        <xdr:cNvPr id="14" name="Рисунок 13" descr="D:\Aleksandr\Tara\АК 501.jpg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2601574"/>
          <a:ext cx="9144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209551</xdr:colOff>
      <xdr:row>31</xdr:row>
      <xdr:rowOff>57150</xdr:rowOff>
    </xdr:from>
    <xdr:to>
      <xdr:col>5</xdr:col>
      <xdr:colOff>819151</xdr:colOff>
      <xdr:row>31</xdr:row>
      <xdr:rowOff>771525</xdr:rowOff>
    </xdr:to>
    <xdr:pic>
      <xdr:nvPicPr>
        <xdr:cNvPr id="19" name="Рисунок 18" descr="D:\Aleksandr\Tara\25 kg.jpg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1" y="14554200"/>
          <a:ext cx="609600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228600</xdr:colOff>
      <xdr:row>34</xdr:row>
      <xdr:rowOff>47625</xdr:rowOff>
    </xdr:from>
    <xdr:to>
      <xdr:col>5</xdr:col>
      <xdr:colOff>838200</xdr:colOff>
      <xdr:row>34</xdr:row>
      <xdr:rowOff>762000</xdr:rowOff>
    </xdr:to>
    <xdr:pic>
      <xdr:nvPicPr>
        <xdr:cNvPr id="20" name="Рисунок 19" descr="D:\Aleksandr\Tara\25 kg.jpg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16154400"/>
          <a:ext cx="609600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66675</xdr:colOff>
      <xdr:row>55</xdr:row>
      <xdr:rowOff>57151</xdr:rowOff>
    </xdr:from>
    <xdr:ext cx="914400" cy="714374"/>
    <xdr:pic>
      <xdr:nvPicPr>
        <xdr:cNvPr id="21" name="Рисунок 20" descr="543fa618a33e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30803851"/>
          <a:ext cx="9144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38100</xdr:colOff>
      <xdr:row>67</xdr:row>
      <xdr:rowOff>28575</xdr:rowOff>
    </xdr:from>
    <xdr:to>
      <xdr:col>3</xdr:col>
      <xdr:colOff>1000125</xdr:colOff>
      <xdr:row>67</xdr:row>
      <xdr:rowOff>1133475</xdr:rowOff>
    </xdr:to>
    <xdr:pic>
      <xdr:nvPicPr>
        <xdr:cNvPr id="22" name="Рисунок 21" descr="D:\Aleksandr\Кловертекс\Tara\Ведра\propitka.png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33928050"/>
          <a:ext cx="962025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9525</xdr:colOff>
      <xdr:row>67</xdr:row>
      <xdr:rowOff>28575</xdr:rowOff>
    </xdr:from>
    <xdr:to>
      <xdr:col>4</xdr:col>
      <xdr:colOff>971550</xdr:colOff>
      <xdr:row>67</xdr:row>
      <xdr:rowOff>1133475</xdr:rowOff>
    </xdr:to>
    <xdr:pic>
      <xdr:nvPicPr>
        <xdr:cNvPr id="28" name="Рисунок 27" descr="D:\Aleksandr\Кловертекс\Tara\Ведра\propitka.png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5785425"/>
          <a:ext cx="962025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67</xdr:row>
      <xdr:rowOff>38100</xdr:rowOff>
    </xdr:from>
    <xdr:to>
      <xdr:col>5</xdr:col>
      <xdr:colOff>971550</xdr:colOff>
      <xdr:row>67</xdr:row>
      <xdr:rowOff>1143000</xdr:rowOff>
    </xdr:to>
    <xdr:pic>
      <xdr:nvPicPr>
        <xdr:cNvPr id="29" name="Рисунок 28" descr="D:\Aleksandr\Кловертекс\Tara\Ведра\propitka.png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35794950"/>
          <a:ext cx="962025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</xdr:colOff>
      <xdr:row>60</xdr:row>
      <xdr:rowOff>561975</xdr:rowOff>
    </xdr:from>
    <xdr:to>
      <xdr:col>3</xdr:col>
      <xdr:colOff>971549</xdr:colOff>
      <xdr:row>60</xdr:row>
      <xdr:rowOff>1181100</xdr:rowOff>
    </xdr:to>
    <xdr:pic>
      <xdr:nvPicPr>
        <xdr:cNvPr id="39" name="Рисунок 38" descr="D:\Aleksandr\Кловертекс\Tara\Ведра\Лак наруж. внутр.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46453425"/>
          <a:ext cx="933449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66675</xdr:colOff>
      <xdr:row>60</xdr:row>
      <xdr:rowOff>561975</xdr:rowOff>
    </xdr:from>
    <xdr:to>
      <xdr:col>4</xdr:col>
      <xdr:colOff>1000124</xdr:colOff>
      <xdr:row>60</xdr:row>
      <xdr:rowOff>1181100</xdr:rowOff>
    </xdr:to>
    <xdr:pic>
      <xdr:nvPicPr>
        <xdr:cNvPr id="40" name="Рисунок 39" descr="D:\Aleksandr\Кловертекс\Tara\Ведра\Лак наруж. внутр.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6453425"/>
          <a:ext cx="933449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47625</xdr:colOff>
      <xdr:row>60</xdr:row>
      <xdr:rowOff>552450</xdr:rowOff>
    </xdr:from>
    <xdr:to>
      <xdr:col>5</xdr:col>
      <xdr:colOff>981074</xdr:colOff>
      <xdr:row>60</xdr:row>
      <xdr:rowOff>1171575</xdr:rowOff>
    </xdr:to>
    <xdr:pic>
      <xdr:nvPicPr>
        <xdr:cNvPr id="41" name="Рисунок 40" descr="D:\Aleksandr\Кловертекс\Tara\Ведра\Лак наруж. внутр.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46443900"/>
          <a:ext cx="933449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57150</xdr:colOff>
      <xdr:row>63</xdr:row>
      <xdr:rowOff>590550</xdr:rowOff>
    </xdr:from>
    <xdr:to>
      <xdr:col>3</xdr:col>
      <xdr:colOff>990599</xdr:colOff>
      <xdr:row>63</xdr:row>
      <xdr:rowOff>1209675</xdr:rowOff>
    </xdr:to>
    <xdr:pic>
      <xdr:nvPicPr>
        <xdr:cNvPr id="42" name="Рисунок 41" descr="D:\Aleksandr\Кловертекс\Tara\Ведра\Лак наруж. внутр.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49044225"/>
          <a:ext cx="933449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63</xdr:row>
      <xdr:rowOff>600075</xdr:rowOff>
    </xdr:from>
    <xdr:to>
      <xdr:col>5</xdr:col>
      <xdr:colOff>3174</xdr:colOff>
      <xdr:row>63</xdr:row>
      <xdr:rowOff>1219200</xdr:rowOff>
    </xdr:to>
    <xdr:pic>
      <xdr:nvPicPr>
        <xdr:cNvPr id="43" name="Рисунок 42" descr="D:\Aleksandr\Кловертекс\Tara\Ведра\Лак наруж. внутр.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9053750"/>
          <a:ext cx="933449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66675</xdr:colOff>
      <xdr:row>63</xdr:row>
      <xdr:rowOff>600075</xdr:rowOff>
    </xdr:from>
    <xdr:to>
      <xdr:col>5</xdr:col>
      <xdr:colOff>1000124</xdr:colOff>
      <xdr:row>63</xdr:row>
      <xdr:rowOff>1219200</xdr:rowOff>
    </xdr:to>
    <xdr:pic>
      <xdr:nvPicPr>
        <xdr:cNvPr id="44" name="Рисунок 43" descr="D:\Aleksandr\Кловертекс\Tara\Ведра\Лак наруж. внутр.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49053750"/>
          <a:ext cx="933449" cy="6191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57150</xdr:colOff>
      <xdr:row>16</xdr:row>
      <xdr:rowOff>276225</xdr:rowOff>
    </xdr:from>
    <xdr:ext cx="952500" cy="390526"/>
    <xdr:pic>
      <xdr:nvPicPr>
        <xdr:cNvPr id="33" name="Рисунок 32" descr="25kg_mini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124950"/>
          <a:ext cx="952500" cy="390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47625</xdr:colOff>
      <xdr:row>9</xdr:row>
      <xdr:rowOff>400051</xdr:rowOff>
    </xdr:from>
    <xdr:ext cx="952500" cy="409576"/>
    <xdr:pic>
      <xdr:nvPicPr>
        <xdr:cNvPr id="34" name="Рисунок 33" descr="25kg_mini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5705476"/>
          <a:ext cx="952500" cy="409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85725</xdr:colOff>
      <xdr:row>4</xdr:row>
      <xdr:rowOff>304800</xdr:rowOff>
    </xdr:from>
    <xdr:ext cx="952500" cy="628651"/>
    <xdr:pic>
      <xdr:nvPicPr>
        <xdr:cNvPr id="35" name="Рисунок 34" descr="25kg_min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228850"/>
          <a:ext cx="95250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85725</xdr:colOff>
      <xdr:row>21</xdr:row>
      <xdr:rowOff>104775</xdr:rowOff>
    </xdr:from>
    <xdr:ext cx="914400" cy="714374"/>
    <xdr:pic>
      <xdr:nvPicPr>
        <xdr:cNvPr id="36" name="Рисунок 35" descr="543fa618a33e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715625"/>
          <a:ext cx="9144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200025</xdr:colOff>
      <xdr:row>24</xdr:row>
      <xdr:rowOff>142875</xdr:rowOff>
    </xdr:from>
    <xdr:to>
      <xdr:col>4</xdr:col>
      <xdr:colOff>809625</xdr:colOff>
      <xdr:row>24</xdr:row>
      <xdr:rowOff>857250</xdr:rowOff>
    </xdr:to>
    <xdr:pic>
      <xdr:nvPicPr>
        <xdr:cNvPr id="37" name="Рисунок 36" descr="D:\Aleksandr\Tara\25 kg.jpg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12334875"/>
          <a:ext cx="609600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276225</xdr:colOff>
      <xdr:row>24</xdr:row>
      <xdr:rowOff>342900</xdr:rowOff>
    </xdr:from>
    <xdr:to>
      <xdr:col>5</xdr:col>
      <xdr:colOff>790575</xdr:colOff>
      <xdr:row>24</xdr:row>
      <xdr:rowOff>847725</xdr:rowOff>
    </xdr:to>
    <xdr:pic>
      <xdr:nvPicPr>
        <xdr:cNvPr id="38" name="Рисунок 37" descr="D:\Aleksandr\Tara\25 kg.jpg"/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2534900"/>
          <a:ext cx="514350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180975</xdr:colOff>
      <xdr:row>137</xdr:row>
      <xdr:rowOff>95250</xdr:rowOff>
    </xdr:from>
    <xdr:to>
      <xdr:col>4</xdr:col>
      <xdr:colOff>847725</xdr:colOff>
      <xdr:row>137</xdr:row>
      <xdr:rowOff>828676</xdr:rowOff>
    </xdr:to>
    <xdr:pic>
      <xdr:nvPicPr>
        <xdr:cNvPr id="56" name="Рисунок 55" descr="D:\Aleksandr\Кловертекс\Tara\Фотошоп\vedro clover 25.png"/>
        <xdr:cNvPicPr/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63598425"/>
          <a:ext cx="666750" cy="7334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219075</xdr:colOff>
      <xdr:row>137</xdr:row>
      <xdr:rowOff>285750</xdr:rowOff>
    </xdr:from>
    <xdr:to>
      <xdr:col>5</xdr:col>
      <xdr:colOff>742950</xdr:colOff>
      <xdr:row>137</xdr:row>
      <xdr:rowOff>790576</xdr:rowOff>
    </xdr:to>
    <xdr:pic>
      <xdr:nvPicPr>
        <xdr:cNvPr id="57" name="Рисунок 56" descr="D:\Aleksandr\Кловертекс\Tara\Фотошоп\vedro clover 25.png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63788925"/>
          <a:ext cx="523875" cy="5048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190500</xdr:colOff>
      <xdr:row>141</xdr:row>
      <xdr:rowOff>142875</xdr:rowOff>
    </xdr:from>
    <xdr:to>
      <xdr:col>4</xdr:col>
      <xdr:colOff>857250</xdr:colOff>
      <xdr:row>141</xdr:row>
      <xdr:rowOff>876301</xdr:rowOff>
    </xdr:to>
    <xdr:pic>
      <xdr:nvPicPr>
        <xdr:cNvPr id="58" name="Рисунок 57" descr="D:\Aleksandr\Кловертекс\Tara\Фотошоп\vedro clover 25.png"/>
        <xdr:cNvPicPr/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5474850"/>
          <a:ext cx="666750" cy="7334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228600</xdr:colOff>
      <xdr:row>141</xdr:row>
      <xdr:rowOff>361950</xdr:rowOff>
    </xdr:from>
    <xdr:to>
      <xdr:col>5</xdr:col>
      <xdr:colOff>752475</xdr:colOff>
      <xdr:row>141</xdr:row>
      <xdr:rowOff>866776</xdr:rowOff>
    </xdr:to>
    <xdr:pic>
      <xdr:nvPicPr>
        <xdr:cNvPr id="59" name="Рисунок 58" descr="D:\Aleksandr\Кловертекс\Tara\Фотошоп\vedro clover 25.png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65693925"/>
          <a:ext cx="523875" cy="5048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180975</xdr:colOff>
      <xdr:row>127</xdr:row>
      <xdr:rowOff>200025</xdr:rowOff>
    </xdr:from>
    <xdr:to>
      <xdr:col>4</xdr:col>
      <xdr:colOff>847725</xdr:colOff>
      <xdr:row>127</xdr:row>
      <xdr:rowOff>933451</xdr:rowOff>
    </xdr:to>
    <xdr:pic>
      <xdr:nvPicPr>
        <xdr:cNvPr id="60" name="Рисунок 59" descr="D:\Aleksandr\Кловертекс\Tara\Фотошоп\vedro clover 25.png"/>
        <xdr:cNvPicPr/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59931300"/>
          <a:ext cx="666750" cy="7334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219075</xdr:colOff>
      <xdr:row>127</xdr:row>
      <xdr:rowOff>390525</xdr:rowOff>
    </xdr:from>
    <xdr:to>
      <xdr:col>5</xdr:col>
      <xdr:colOff>742950</xdr:colOff>
      <xdr:row>127</xdr:row>
      <xdr:rowOff>895351</xdr:rowOff>
    </xdr:to>
    <xdr:pic>
      <xdr:nvPicPr>
        <xdr:cNvPr id="61" name="Рисунок 60" descr="D:\Aleksandr\Кловертекс\Tara\Фотошоп\vedro clover 25.png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59035950"/>
          <a:ext cx="523875" cy="5048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190500</xdr:colOff>
      <xdr:row>114</xdr:row>
      <xdr:rowOff>123825</xdr:rowOff>
    </xdr:from>
    <xdr:to>
      <xdr:col>4</xdr:col>
      <xdr:colOff>857250</xdr:colOff>
      <xdr:row>114</xdr:row>
      <xdr:rowOff>857251</xdr:rowOff>
    </xdr:to>
    <xdr:pic>
      <xdr:nvPicPr>
        <xdr:cNvPr id="62" name="Рисунок 61" descr="D:\Aleksandr\Кловертекс\Tara\Фотошоп\vedro clover 25.png"/>
        <xdr:cNvPicPr/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5321200"/>
          <a:ext cx="666750" cy="7334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247650</xdr:colOff>
      <xdr:row>114</xdr:row>
      <xdr:rowOff>333375</xdr:rowOff>
    </xdr:from>
    <xdr:to>
      <xdr:col>5</xdr:col>
      <xdr:colOff>771525</xdr:colOff>
      <xdr:row>114</xdr:row>
      <xdr:rowOff>838201</xdr:rowOff>
    </xdr:to>
    <xdr:pic>
      <xdr:nvPicPr>
        <xdr:cNvPr id="63" name="Рисунок 62" descr="D:\Aleksandr\Кловертекс\Tara\Фотошоп\vedro clover 25.png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55530750"/>
          <a:ext cx="523875" cy="5048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171450</xdr:colOff>
      <xdr:row>102</xdr:row>
      <xdr:rowOff>142875</xdr:rowOff>
    </xdr:from>
    <xdr:to>
      <xdr:col>4</xdr:col>
      <xdr:colOff>838200</xdr:colOff>
      <xdr:row>102</xdr:row>
      <xdr:rowOff>876301</xdr:rowOff>
    </xdr:to>
    <xdr:pic>
      <xdr:nvPicPr>
        <xdr:cNvPr id="64" name="Рисунок 63" descr="D:\Aleksandr\Кловертекс\Tara\Фотошоп\vedro clover 25.png"/>
        <xdr:cNvPicPr/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51939825"/>
          <a:ext cx="666750" cy="7334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209550</xdr:colOff>
      <xdr:row>102</xdr:row>
      <xdr:rowOff>371475</xdr:rowOff>
    </xdr:from>
    <xdr:to>
      <xdr:col>5</xdr:col>
      <xdr:colOff>733425</xdr:colOff>
      <xdr:row>102</xdr:row>
      <xdr:rowOff>876301</xdr:rowOff>
    </xdr:to>
    <xdr:pic>
      <xdr:nvPicPr>
        <xdr:cNvPr id="65" name="Рисунок 64" descr="D:\Aleksandr\Кловертекс\Tara\Фотошоп\vedro clover 25.png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2168425"/>
          <a:ext cx="523875" cy="5048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171450</xdr:colOff>
      <xdr:row>0</xdr:row>
      <xdr:rowOff>47625</xdr:rowOff>
    </xdr:from>
    <xdr:to>
      <xdr:col>5</xdr:col>
      <xdr:colOff>990599</xdr:colOff>
      <xdr:row>0</xdr:row>
      <xdr:rowOff>685800</xdr:rowOff>
    </xdr:to>
    <xdr:pic>
      <xdr:nvPicPr>
        <xdr:cNvPr id="45" name="Рисунок 44" descr="D:\Aleksandr\Кловертекс\Tara\logo 300dpi.tif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47625"/>
          <a:ext cx="1838324" cy="6381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66675</xdr:colOff>
      <xdr:row>4</xdr:row>
      <xdr:rowOff>504825</xdr:rowOff>
    </xdr:from>
    <xdr:ext cx="952500" cy="438150"/>
    <xdr:pic>
      <xdr:nvPicPr>
        <xdr:cNvPr id="46" name="Рисунок 45" descr="25kg_mini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2428875"/>
          <a:ext cx="9525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9</xdr:row>
      <xdr:rowOff>171450</xdr:rowOff>
    </xdr:from>
    <xdr:ext cx="952500" cy="628651"/>
    <xdr:pic>
      <xdr:nvPicPr>
        <xdr:cNvPr id="47" name="Рисунок 46" descr="25kg_min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476875"/>
          <a:ext cx="95250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12</xdr:row>
      <xdr:rowOff>76200</xdr:rowOff>
    </xdr:from>
    <xdr:ext cx="952500" cy="628651"/>
    <xdr:pic>
      <xdr:nvPicPr>
        <xdr:cNvPr id="48" name="Рисунок 47" descr="25kg_min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7115175"/>
          <a:ext cx="95250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</xdr:row>
      <xdr:rowOff>85725</xdr:rowOff>
    </xdr:from>
    <xdr:ext cx="952500" cy="628651"/>
    <xdr:pic>
      <xdr:nvPicPr>
        <xdr:cNvPr id="49" name="Рисунок 48" descr="25kg_min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8934450"/>
          <a:ext cx="95250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171450</xdr:colOff>
      <xdr:row>0</xdr:row>
      <xdr:rowOff>47625</xdr:rowOff>
    </xdr:from>
    <xdr:to>
      <xdr:col>5</xdr:col>
      <xdr:colOff>990599</xdr:colOff>
      <xdr:row>0</xdr:row>
      <xdr:rowOff>685800</xdr:rowOff>
    </xdr:to>
    <xdr:pic>
      <xdr:nvPicPr>
        <xdr:cNvPr id="50" name="Рисунок 49" descr="D:\Aleksandr\Кловертекс\Tara\logo 300dpi.tif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47625"/>
          <a:ext cx="1838324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vertex.by/produkciya/gruntovki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topLeftCell="A67" zoomScaleNormal="100" workbookViewId="0">
      <selection activeCell="I1" sqref="I1"/>
    </sheetView>
  </sheetViews>
  <sheetFormatPr defaultRowHeight="15" x14ac:dyDescent="0.25"/>
  <cols>
    <col min="1" max="1" width="27.5703125" customWidth="1"/>
    <col min="2" max="2" width="9.140625" customWidth="1"/>
    <col min="3" max="6" width="15.28515625" customWidth="1"/>
    <col min="7" max="7" width="9.140625" customWidth="1"/>
    <col min="10" max="10" width="32.7109375" customWidth="1"/>
  </cols>
  <sheetData>
    <row r="1" spans="1:6" s="2" customFormat="1" ht="118.5" customHeight="1" x14ac:dyDescent="0.25">
      <c r="A1" s="68" t="s">
        <v>119</v>
      </c>
      <c r="B1" s="69"/>
      <c r="C1" s="69"/>
      <c r="D1" s="69"/>
      <c r="E1" s="69"/>
      <c r="F1" s="70"/>
    </row>
    <row r="2" spans="1:6" s="2" customFormat="1" ht="17.25" customHeight="1" x14ac:dyDescent="0.25">
      <c r="A2" s="143" t="s">
        <v>111</v>
      </c>
      <c r="B2" s="144"/>
      <c r="C2" s="144"/>
      <c r="D2" s="144"/>
      <c r="E2" s="144"/>
      <c r="F2" s="145"/>
    </row>
    <row r="3" spans="1:6" s="2" customFormat="1" ht="12.75" customHeight="1" thickBot="1" x14ac:dyDescent="0.3">
      <c r="A3" s="146" t="s">
        <v>112</v>
      </c>
      <c r="B3" s="147"/>
      <c r="C3" s="147"/>
      <c r="D3" s="147"/>
      <c r="E3" s="147"/>
      <c r="F3" s="148"/>
    </row>
    <row r="4" spans="1:6" s="2" customFormat="1" ht="19.5" thickBot="1" x14ac:dyDescent="0.3">
      <c r="A4" s="149" t="s">
        <v>19</v>
      </c>
      <c r="B4" s="150"/>
      <c r="C4" s="150"/>
      <c r="D4" s="150"/>
      <c r="E4" s="96"/>
      <c r="F4" s="97"/>
    </row>
    <row r="5" spans="1:6" s="2" customFormat="1" ht="118.5" customHeight="1" x14ac:dyDescent="0.25">
      <c r="A5" s="122" t="s">
        <v>33</v>
      </c>
      <c r="B5" s="124"/>
      <c r="C5" s="11" t="s">
        <v>31</v>
      </c>
      <c r="D5" s="11" t="s">
        <v>92</v>
      </c>
      <c r="E5" s="12" t="s">
        <v>30</v>
      </c>
      <c r="F5" s="13" t="s">
        <v>21</v>
      </c>
    </row>
    <row r="6" spans="1:6" s="2" customFormat="1" ht="42.75" customHeight="1" x14ac:dyDescent="0.25">
      <c r="A6" s="156" t="s">
        <v>113</v>
      </c>
      <c r="B6" s="157"/>
      <c r="C6" s="27">
        <f>3.1-(3.1*'Размер скидок'!E2/100)</f>
        <v>3.2549999999999999</v>
      </c>
      <c r="D6" s="27">
        <f>3.27-(3.27*'Размер скидок'!E2/100)</f>
        <v>3.4335</v>
      </c>
      <c r="E6" s="27">
        <f>7.46-(7.46*'Размер скидок'!E2/100)</f>
        <v>7.8330000000000002</v>
      </c>
      <c r="F6" s="28">
        <f>4.1-(4.1*'Размер скидок'!E2/100)</f>
        <v>4.3049999999999997</v>
      </c>
    </row>
    <row r="7" spans="1:6" s="2" customFormat="1" ht="25.5" customHeight="1" x14ac:dyDescent="0.25">
      <c r="A7" s="156" t="s">
        <v>117</v>
      </c>
      <c r="B7" s="157"/>
      <c r="C7" s="29">
        <f>3-(3*'Размер скидок'!E2/100)</f>
        <v>3.15</v>
      </c>
      <c r="D7" s="29">
        <f>3.17-(3.17*'Размер скидок'!E2/100)</f>
        <v>3.3285</v>
      </c>
      <c r="E7" s="61">
        <f>7.14-(7.14*'Размер скидок'!E2/100)</f>
        <v>7.4969999999999999</v>
      </c>
      <c r="F7" s="62">
        <f>3.99-(3.99*'Размер скидок'!E2/100)</f>
        <v>4.1895000000000007</v>
      </c>
    </row>
    <row r="8" spans="1:6" s="2" customFormat="1" ht="43.5" customHeight="1" thickBot="1" x14ac:dyDescent="0.3">
      <c r="A8" s="166" t="s">
        <v>118</v>
      </c>
      <c r="B8" s="167"/>
      <c r="C8" s="29">
        <f>3.25-(3*'Размер скидок'!E2/100)</f>
        <v>3.4</v>
      </c>
      <c r="D8" s="29">
        <f>3.42-(3.42*'Размер скидок'!E2/100)</f>
        <v>3.5909999999999997</v>
      </c>
      <c r="E8" s="61">
        <f>7.79-(7.79*'Размер скидок'!E2/100)</f>
        <v>8.1795000000000009</v>
      </c>
      <c r="F8" s="62">
        <f>4.28-(4.28*'Размер скидок'!E2/100)</f>
        <v>4.4940000000000007</v>
      </c>
    </row>
    <row r="9" spans="1:6" s="2" customFormat="1" ht="19.5" thickBot="1" x14ac:dyDescent="0.35">
      <c r="A9" s="91" t="s">
        <v>22</v>
      </c>
      <c r="B9" s="92"/>
      <c r="C9" s="92"/>
      <c r="D9" s="92"/>
      <c r="E9" s="96"/>
      <c r="F9" s="97"/>
    </row>
    <row r="10" spans="1:6" s="2" customFormat="1" ht="101.25" customHeight="1" x14ac:dyDescent="0.25">
      <c r="A10" s="122" t="s">
        <v>23</v>
      </c>
      <c r="B10" s="123"/>
      <c r="C10" s="124"/>
      <c r="D10" s="15" t="s">
        <v>32</v>
      </c>
      <c r="E10" s="15" t="s">
        <v>72</v>
      </c>
      <c r="F10" s="14" t="s">
        <v>20</v>
      </c>
    </row>
    <row r="11" spans="1:6" s="2" customFormat="1" ht="15.75" customHeight="1" thickBot="1" x14ac:dyDescent="0.3">
      <c r="A11" s="166" t="s">
        <v>24</v>
      </c>
      <c r="B11" s="168"/>
      <c r="C11" s="167"/>
      <c r="D11" s="30">
        <f>2.84-(2.84*'Размер скидок'!E2/100)</f>
        <v>2.9819999999999998</v>
      </c>
      <c r="E11" s="30">
        <f>3.01-(3.01*'Размер скидок'!E2/100)</f>
        <v>3.1604999999999999</v>
      </c>
      <c r="F11" s="31">
        <f>6.83-(6.83*'Размер скидок'!E2/100)</f>
        <v>7.1715</v>
      </c>
    </row>
    <row r="12" spans="1:6" s="2" customFormat="1" ht="19.5" thickBot="1" x14ac:dyDescent="0.35">
      <c r="A12" s="91" t="s">
        <v>25</v>
      </c>
      <c r="B12" s="92"/>
      <c r="C12" s="92"/>
      <c r="D12" s="92"/>
      <c r="E12" s="96"/>
      <c r="F12" s="97"/>
    </row>
    <row r="13" spans="1:6" s="2" customFormat="1" ht="84.75" customHeight="1" x14ac:dyDescent="0.25">
      <c r="A13" s="122" t="s">
        <v>69</v>
      </c>
      <c r="B13" s="123"/>
      <c r="C13" s="123"/>
      <c r="D13" s="124"/>
      <c r="E13" s="14" t="s">
        <v>32</v>
      </c>
      <c r="F13" s="14" t="s">
        <v>72</v>
      </c>
    </row>
    <row r="14" spans="1:6" s="2" customFormat="1" x14ac:dyDescent="0.25">
      <c r="A14" s="156" t="s">
        <v>26</v>
      </c>
      <c r="B14" s="169"/>
      <c r="C14" s="169"/>
      <c r="D14" s="157"/>
      <c r="E14" s="32">
        <f>2.6-(2.6*'Размер скидок'!E2/100)</f>
        <v>2.73</v>
      </c>
      <c r="F14" s="32">
        <f>2.77-(2.77*'Размер скидок'!E2/100)</f>
        <v>2.9085000000000001</v>
      </c>
    </row>
    <row r="15" spans="1:6" s="2" customFormat="1" ht="15.75" thickBot="1" x14ac:dyDescent="0.3">
      <c r="A15" s="166" t="s">
        <v>27</v>
      </c>
      <c r="B15" s="168"/>
      <c r="C15" s="168"/>
      <c r="D15" s="167"/>
      <c r="E15" s="33">
        <f>2.4-(2.4*'Размер скидок'!E2/100)</f>
        <v>2.52</v>
      </c>
      <c r="F15" s="33">
        <f>2.57-(2.57*'Размер скидок'!E2/100)</f>
        <v>2.6984999999999997</v>
      </c>
    </row>
    <row r="16" spans="1:6" s="2" customFormat="1" ht="19.5" thickBot="1" x14ac:dyDescent="0.35">
      <c r="A16" s="104" t="s">
        <v>28</v>
      </c>
      <c r="B16" s="130"/>
      <c r="C16" s="130"/>
      <c r="D16" s="130"/>
      <c r="E16" s="131"/>
      <c r="F16" s="132"/>
    </row>
    <row r="17" spans="1:6" s="2" customFormat="1" ht="86.25" customHeight="1" x14ac:dyDescent="0.25">
      <c r="A17" s="122" t="s">
        <v>29</v>
      </c>
      <c r="B17" s="123"/>
      <c r="C17" s="123"/>
      <c r="D17" s="124"/>
      <c r="E17" s="14" t="s">
        <v>32</v>
      </c>
      <c r="F17" s="14" t="s">
        <v>72</v>
      </c>
    </row>
    <row r="18" spans="1:6" s="2" customFormat="1" ht="15.75" thickBot="1" x14ac:dyDescent="0.3">
      <c r="A18" s="166" t="s">
        <v>27</v>
      </c>
      <c r="B18" s="168"/>
      <c r="C18" s="168"/>
      <c r="D18" s="167"/>
      <c r="E18" s="33">
        <f>2.8-(2.8*'Размер скидок'!E2/100)</f>
        <v>2.94</v>
      </c>
      <c r="F18" s="33">
        <f>2.97-(2.97*'Размер скидок'!E2/100)</f>
        <v>3.1185</v>
      </c>
    </row>
    <row r="19" spans="1:6" s="2" customFormat="1" ht="15.75" thickBot="1" x14ac:dyDescent="0.3">
      <c r="A19" s="170" t="s">
        <v>26</v>
      </c>
      <c r="B19" s="171"/>
      <c r="C19" s="171"/>
      <c r="D19" s="172"/>
      <c r="E19" s="33">
        <f>2.83-(2.83*'Размер скидок'!E2/100)</f>
        <v>2.9715000000000003</v>
      </c>
      <c r="F19" s="33">
        <f>3-(3*'Размер скидок'!E2/100)</f>
        <v>3.15</v>
      </c>
    </row>
    <row r="20" spans="1:6" s="2" customFormat="1" ht="15.75" thickBot="1" x14ac:dyDescent="0.3">
      <c r="A20" s="3"/>
      <c r="B20" s="3"/>
      <c r="C20" s="3"/>
      <c r="D20" s="3"/>
      <c r="E20" s="3"/>
      <c r="F20" s="1"/>
    </row>
    <row r="21" spans="1:6" s="2" customFormat="1" ht="19.5" thickBot="1" x14ac:dyDescent="0.35">
      <c r="A21" s="104" t="s">
        <v>34</v>
      </c>
      <c r="B21" s="130"/>
      <c r="C21" s="130"/>
      <c r="D21" s="130"/>
      <c r="E21" s="131"/>
      <c r="F21" s="132"/>
    </row>
    <row r="22" spans="1:6" s="2" customFormat="1" ht="94.5" customHeight="1" x14ac:dyDescent="0.25">
      <c r="A22" s="86" t="s">
        <v>46</v>
      </c>
      <c r="B22" s="87"/>
      <c r="C22" s="87"/>
      <c r="D22" s="87"/>
      <c r="E22" s="87"/>
      <c r="F22" s="14" t="s">
        <v>35</v>
      </c>
    </row>
    <row r="23" spans="1:6" s="2" customFormat="1" x14ac:dyDescent="0.25">
      <c r="A23" s="175" t="s">
        <v>36</v>
      </c>
      <c r="B23" s="176"/>
      <c r="C23" s="176"/>
      <c r="D23" s="177"/>
      <c r="E23" s="177"/>
      <c r="F23" s="32">
        <f>3-(3*'Размер скидок'!E1/100)</f>
        <v>3.15</v>
      </c>
    </row>
    <row r="24" spans="1:6" s="2" customFormat="1" x14ac:dyDescent="0.25">
      <c r="A24" s="162" t="s">
        <v>71</v>
      </c>
      <c r="B24" s="178"/>
      <c r="C24" s="178"/>
      <c r="D24" s="163"/>
      <c r="E24" s="163"/>
      <c r="F24" s="31">
        <f>2.8-(2.8*'Размер скидок'!E1/100)</f>
        <v>2.94</v>
      </c>
    </row>
    <row r="25" spans="1:6" s="2" customFormat="1" ht="99.75" customHeight="1" x14ac:dyDescent="0.25">
      <c r="A25" s="159" t="s">
        <v>73</v>
      </c>
      <c r="B25" s="95"/>
      <c r="C25" s="95"/>
      <c r="D25" s="95"/>
      <c r="E25" s="24" t="s">
        <v>93</v>
      </c>
      <c r="F25" s="25" t="s">
        <v>72</v>
      </c>
    </row>
    <row r="26" spans="1:6" s="2" customFormat="1" ht="17.25" customHeight="1" thickBot="1" x14ac:dyDescent="0.3">
      <c r="A26" s="103"/>
      <c r="B26" s="102"/>
      <c r="C26" s="102"/>
      <c r="D26" s="102"/>
      <c r="E26" s="34">
        <f>3.2-(3.2*'Размер скидок'!E1/100)</f>
        <v>3.3600000000000003</v>
      </c>
      <c r="F26" s="33">
        <f>3.3-(3.3*'Размер скидок'!E1/100)</f>
        <v>3.4649999999999999</v>
      </c>
    </row>
    <row r="27" spans="1:6" s="2" customFormat="1" ht="19.5" thickBot="1" x14ac:dyDescent="0.35">
      <c r="A27" s="82" t="s">
        <v>37</v>
      </c>
      <c r="B27" s="83"/>
      <c r="C27" s="83"/>
      <c r="D27" s="83"/>
      <c r="E27" s="84"/>
      <c r="F27" s="85"/>
    </row>
    <row r="28" spans="1:6" s="2" customFormat="1" ht="111" customHeight="1" x14ac:dyDescent="0.25">
      <c r="A28" s="86" t="s">
        <v>95</v>
      </c>
      <c r="B28" s="87"/>
      <c r="C28" s="87"/>
      <c r="D28" s="107"/>
      <c r="E28" s="107"/>
      <c r="F28" s="14" t="s">
        <v>45</v>
      </c>
    </row>
    <row r="29" spans="1:6" s="2" customFormat="1" x14ac:dyDescent="0.25">
      <c r="A29" s="175" t="s">
        <v>38</v>
      </c>
      <c r="B29" s="176"/>
      <c r="C29" s="176"/>
      <c r="D29" s="177"/>
      <c r="E29" s="177"/>
      <c r="F29" s="32">
        <f>3.9-(3.9*'Размер скидок'!E1/100)</f>
        <v>4.0949999999999998</v>
      </c>
    </row>
    <row r="30" spans="1:6" s="2" customFormat="1" ht="15.75" thickBot="1" x14ac:dyDescent="0.3">
      <c r="A30" s="162" t="s">
        <v>94</v>
      </c>
      <c r="B30" s="178"/>
      <c r="C30" s="178"/>
      <c r="D30" s="163"/>
      <c r="E30" s="163"/>
      <c r="F30" s="31">
        <f>4.5-(4.5*'Размер скидок'!E1/100)</f>
        <v>4.7249999999999996</v>
      </c>
    </row>
    <row r="31" spans="1:6" s="2" customFormat="1" ht="19.5" thickBot="1" x14ac:dyDescent="0.35">
      <c r="A31" s="179" t="s">
        <v>39</v>
      </c>
      <c r="B31" s="180"/>
      <c r="C31" s="180"/>
      <c r="D31" s="180"/>
      <c r="E31" s="96"/>
      <c r="F31" s="97"/>
    </row>
    <row r="32" spans="1:6" s="2" customFormat="1" ht="91.5" customHeight="1" x14ac:dyDescent="0.25">
      <c r="A32" s="160" t="s">
        <v>40</v>
      </c>
      <c r="B32" s="161"/>
      <c r="C32" s="161"/>
      <c r="D32" s="107"/>
      <c r="E32" s="107"/>
      <c r="F32" s="14" t="s">
        <v>45</v>
      </c>
    </row>
    <row r="33" spans="1:6" s="2" customFormat="1" ht="15.75" thickBot="1" x14ac:dyDescent="0.3">
      <c r="A33" s="162" t="s">
        <v>41</v>
      </c>
      <c r="B33" s="163"/>
      <c r="C33" s="163"/>
      <c r="D33" s="163"/>
      <c r="E33" s="163"/>
      <c r="F33" s="31">
        <f>5-(5*'Размер скидок'!E1/100)</f>
        <v>5.25</v>
      </c>
    </row>
    <row r="34" spans="1:6" s="2" customFormat="1" ht="19.5" thickBot="1" x14ac:dyDescent="0.35">
      <c r="A34" s="91" t="s">
        <v>42</v>
      </c>
      <c r="B34" s="92"/>
      <c r="C34" s="92"/>
      <c r="D34" s="92"/>
      <c r="E34" s="96"/>
      <c r="F34" s="97"/>
    </row>
    <row r="35" spans="1:6" s="2" customFormat="1" ht="90.75" customHeight="1" x14ac:dyDescent="0.25">
      <c r="A35" s="173" t="s">
        <v>43</v>
      </c>
      <c r="B35" s="174"/>
      <c r="C35" s="174"/>
      <c r="D35" s="107"/>
      <c r="E35" s="107"/>
      <c r="F35" s="14" t="s">
        <v>45</v>
      </c>
    </row>
    <row r="36" spans="1:6" s="2" customFormat="1" ht="15.75" thickBot="1" x14ac:dyDescent="0.3">
      <c r="A36" s="79" t="s">
        <v>44</v>
      </c>
      <c r="B36" s="158"/>
      <c r="C36" s="158"/>
      <c r="D36" s="80"/>
      <c r="E36" s="80"/>
      <c r="F36" s="33">
        <f>4.6-(4.6*'Размер скидок'!E1/100)</f>
        <v>4.83</v>
      </c>
    </row>
    <row r="37" spans="1:6" s="2" customFormat="1" x14ac:dyDescent="0.25">
      <c r="A37" s="3"/>
      <c r="B37" s="3"/>
      <c r="C37" s="3"/>
      <c r="D37" s="3"/>
      <c r="E37" s="3"/>
      <c r="F37" s="1"/>
    </row>
    <row r="38" spans="1:6" s="2" customFormat="1" ht="19.5" customHeight="1" x14ac:dyDescent="0.25">
      <c r="A38" s="3"/>
      <c r="B38" s="3"/>
      <c r="C38" s="3"/>
      <c r="D38" s="3"/>
      <c r="E38" s="3"/>
      <c r="F38" s="1"/>
    </row>
    <row r="39" spans="1:6" s="2" customFormat="1" ht="30" customHeight="1" x14ac:dyDescent="0.25">
      <c r="A39" s="3"/>
      <c r="B39" s="3"/>
      <c r="C39" s="3"/>
      <c r="D39" s="3"/>
      <c r="E39" s="3"/>
      <c r="F39" s="1"/>
    </row>
    <row r="40" spans="1:6" s="2" customFormat="1" x14ac:dyDescent="0.25">
      <c r="A40" s="3"/>
      <c r="B40" s="3"/>
      <c r="C40" s="3"/>
      <c r="D40" s="3"/>
      <c r="E40" s="3"/>
      <c r="F40" s="1"/>
    </row>
    <row r="41" spans="1:6" s="2" customFormat="1" x14ac:dyDescent="0.25">
      <c r="A41" s="3"/>
      <c r="B41" s="3"/>
      <c r="C41" s="3"/>
      <c r="D41" s="3"/>
      <c r="E41" s="3"/>
      <c r="F41" s="1"/>
    </row>
    <row r="42" spans="1:6" s="2" customFormat="1" ht="15.75" thickBot="1" x14ac:dyDescent="0.3">
      <c r="A42" s="3"/>
      <c r="B42" s="3"/>
      <c r="C42" s="3"/>
      <c r="D42" s="3"/>
      <c r="E42" s="3"/>
      <c r="F42" s="1"/>
    </row>
    <row r="43" spans="1:6" ht="19.5" customHeight="1" thickBot="1" x14ac:dyDescent="0.35">
      <c r="A43" s="104" t="s">
        <v>0</v>
      </c>
      <c r="B43" s="105"/>
      <c r="C43" s="105"/>
      <c r="D43" s="105"/>
      <c r="E43" s="105"/>
      <c r="F43" s="106"/>
    </row>
    <row r="44" spans="1:6" ht="108" customHeight="1" x14ac:dyDescent="0.25">
      <c r="A44" s="154" t="s">
        <v>1</v>
      </c>
      <c r="B44" s="155"/>
      <c r="C44" s="15" t="s">
        <v>2</v>
      </c>
      <c r="D44" s="4" t="s">
        <v>3</v>
      </c>
      <c r="E44" s="15" t="s">
        <v>4</v>
      </c>
      <c r="F44" s="5" t="s">
        <v>5</v>
      </c>
    </row>
    <row r="45" spans="1:6" ht="107.25" customHeight="1" x14ac:dyDescent="0.25">
      <c r="A45" s="133" t="s">
        <v>13</v>
      </c>
      <c r="B45" s="134"/>
      <c r="C45" s="27">
        <f>2.1-(2.1*'Размер скидок'!E3/100)</f>
        <v>2.2050000000000001</v>
      </c>
      <c r="D45" s="27">
        <f>2.2-(2.2*'Размер скидок'!E3/100)</f>
        <v>2.31</v>
      </c>
      <c r="E45" s="37">
        <f>11.5-(11.5*'Размер скидок'!E3/100)</f>
        <v>12.074999999999999</v>
      </c>
      <c r="F45" s="38">
        <f>7.2-(7.2*'Размер скидок'!E3/100)</f>
        <v>7.5600000000000005</v>
      </c>
    </row>
    <row r="46" spans="1:6" ht="117.75" customHeight="1" x14ac:dyDescent="0.25">
      <c r="A46" s="133" t="s">
        <v>15</v>
      </c>
      <c r="B46" s="134"/>
      <c r="C46" s="37">
        <f>2.3-(2.3*'Размер скидок'!E3/100)</f>
        <v>2.415</v>
      </c>
      <c r="D46" s="37">
        <f>2.4-(2.4*'Размер скидок'!E3/100)</f>
        <v>2.52</v>
      </c>
      <c r="E46" s="37">
        <f>12.5-(12.5*'Размер скидок'!E3/100)</f>
        <v>13.125</v>
      </c>
      <c r="F46" s="38">
        <f>8-(8*'Размер скидок'!E3/100)</f>
        <v>8.4</v>
      </c>
    </row>
    <row r="47" spans="1:6" ht="90" customHeight="1" x14ac:dyDescent="0.25">
      <c r="A47" s="133" t="s">
        <v>85</v>
      </c>
      <c r="B47" s="134"/>
      <c r="C47" s="27">
        <f>2.86-(2.86*'Размер скидок'!E3/100)</f>
        <v>3.0029999999999997</v>
      </c>
      <c r="D47" s="27">
        <f>2.97-(2.97*'Размер скидок'!E3/100)</f>
        <v>3.1185</v>
      </c>
      <c r="E47" s="37">
        <f>14.5-(14.5*'Размер скидок'!E3/100)</f>
        <v>15.225</v>
      </c>
      <c r="F47" s="38">
        <f>9-(9*'Размер скидок'!E3/100)</f>
        <v>9.4499999999999993</v>
      </c>
    </row>
    <row r="48" spans="1:6" x14ac:dyDescent="0.25">
      <c r="A48" s="140" t="s">
        <v>6</v>
      </c>
      <c r="B48" s="141"/>
      <c r="C48" s="35">
        <f>3.96-(3.96*'Размер скидок'!E3/100)</f>
        <v>4.1580000000000004</v>
      </c>
      <c r="D48" s="35">
        <f>4.07-(4.07*'Размер скидок'!E3/100)</f>
        <v>4.2735000000000003</v>
      </c>
      <c r="E48" s="37">
        <f>19.5-(19.5*'Размер скидок'!E3/100)</f>
        <v>20.475000000000001</v>
      </c>
      <c r="F48" s="38">
        <f>15-(15*'Размер скидок'!E3/100)</f>
        <v>15.75</v>
      </c>
    </row>
    <row r="49" spans="1:6" ht="66.75" customHeight="1" x14ac:dyDescent="0.25">
      <c r="A49" s="133" t="s">
        <v>14</v>
      </c>
      <c r="B49" s="134"/>
      <c r="C49" s="29">
        <f>2-(2*'Размер скидок'!E3/100)</f>
        <v>2.1</v>
      </c>
      <c r="D49" s="29">
        <f>2.1-(2.1*'Размер скидок'!E3/100)</f>
        <v>2.2050000000000001</v>
      </c>
      <c r="E49" s="37">
        <f>11-(11*'Размер скидок'!E3/100)</f>
        <v>11.55</v>
      </c>
      <c r="F49" s="38">
        <f>6.9-(6.9*'Размер скидок'!E3/100)</f>
        <v>7.2450000000000001</v>
      </c>
    </row>
    <row r="50" spans="1:6" ht="120" customHeight="1" x14ac:dyDescent="0.25">
      <c r="A50" s="133" t="s">
        <v>74</v>
      </c>
      <c r="B50" s="134"/>
      <c r="C50" s="37">
        <f>2.31-(2.31*'Размер скидок'!E3/100)</f>
        <v>2.4255</v>
      </c>
      <c r="D50" s="37">
        <f>2.41-(2.41*'Размер скидок'!E3/100)</f>
        <v>2.5305</v>
      </c>
      <c r="E50" s="37">
        <f>12.5-(12.5*'Размер скидок'!E3/100)</f>
        <v>13.125</v>
      </c>
      <c r="F50" s="38">
        <f>7.8-(7.8*'Размер скидок'!E3/100)</f>
        <v>8.19</v>
      </c>
    </row>
    <row r="51" spans="1:6" ht="18.75" customHeight="1" x14ac:dyDescent="0.3">
      <c r="A51" s="137" t="s">
        <v>7</v>
      </c>
      <c r="B51" s="138"/>
      <c r="C51" s="138"/>
      <c r="D51" s="138"/>
      <c r="E51" s="138"/>
      <c r="F51" s="139"/>
    </row>
    <row r="52" spans="1:6" ht="48.75" customHeight="1" x14ac:dyDescent="0.25">
      <c r="A52" s="135" t="s">
        <v>8</v>
      </c>
      <c r="B52" s="136"/>
      <c r="C52" s="39">
        <f>2.2-(2.2*'Размер скидок'!E3/100)</f>
        <v>2.31</v>
      </c>
      <c r="D52" s="39">
        <f>2.3-(2.3*'Размер скидок'!E3/100)</f>
        <v>2.415</v>
      </c>
      <c r="E52" s="6"/>
      <c r="F52" s="7"/>
    </row>
    <row r="53" spans="1:6" ht="48" customHeight="1" thickBot="1" x14ac:dyDescent="0.3">
      <c r="A53" s="128" t="s">
        <v>9</v>
      </c>
      <c r="B53" s="129"/>
      <c r="C53" s="40">
        <f>2-(2*'Размер скидок'!E3/100)</f>
        <v>2.1</v>
      </c>
      <c r="D53" s="40">
        <f>2.1-(2*'Размер скидок'!E3/100)</f>
        <v>2.2000000000000002</v>
      </c>
      <c r="E53" s="8"/>
      <c r="F53" s="9"/>
    </row>
    <row r="54" spans="1:6" s="2" customFormat="1" ht="41.25" customHeight="1" thickBot="1" x14ac:dyDescent="0.3">
      <c r="A54" s="19"/>
      <c r="B54" s="16"/>
      <c r="C54" s="17"/>
      <c r="D54" s="17"/>
      <c r="E54" s="18"/>
      <c r="F54" s="18"/>
    </row>
    <row r="55" spans="1:6" ht="19.5" thickBot="1" x14ac:dyDescent="0.35">
      <c r="A55" s="104" t="s">
        <v>10</v>
      </c>
      <c r="B55" s="130"/>
      <c r="C55" s="130"/>
      <c r="D55" s="130"/>
      <c r="E55" s="131"/>
      <c r="F55" s="132"/>
    </row>
    <row r="56" spans="1:6" ht="90.75" customHeight="1" x14ac:dyDescent="0.25">
      <c r="A56" s="108" t="s">
        <v>11</v>
      </c>
      <c r="B56" s="109"/>
      <c r="C56" s="109"/>
      <c r="D56" s="110"/>
      <c r="E56" s="110"/>
      <c r="F56" s="10" t="s">
        <v>12</v>
      </c>
    </row>
    <row r="57" spans="1:6" ht="45.75" customHeight="1" x14ac:dyDescent="0.25">
      <c r="A57" s="111" t="s">
        <v>16</v>
      </c>
      <c r="B57" s="112"/>
      <c r="C57" s="95"/>
      <c r="D57" s="95"/>
      <c r="E57" s="95"/>
      <c r="F57" s="41">
        <f>1.26-(1.26*'Размер скидок'!E4/100)</f>
        <v>1.323</v>
      </c>
    </row>
    <row r="58" spans="1:6" ht="44.25" customHeight="1" x14ac:dyDescent="0.25">
      <c r="A58" s="113" t="s">
        <v>17</v>
      </c>
      <c r="B58" s="114"/>
      <c r="C58" s="75"/>
      <c r="D58" s="75"/>
      <c r="E58" s="75"/>
      <c r="F58" s="41">
        <f>2.61-(2.61*'Размер скидок'!E4/100)</f>
        <v>2.7404999999999999</v>
      </c>
    </row>
    <row r="59" spans="1:6" ht="48.75" customHeight="1" thickBot="1" x14ac:dyDescent="0.3">
      <c r="A59" s="115" t="s">
        <v>18</v>
      </c>
      <c r="B59" s="116"/>
      <c r="C59" s="116"/>
      <c r="D59" s="116"/>
      <c r="E59" s="116"/>
      <c r="F59" s="42">
        <f>1.42-(1.42*'Размер скидок'!E4/100)</f>
        <v>1.4909999999999999</v>
      </c>
    </row>
    <row r="60" spans="1:6" s="2" customFormat="1" ht="48.75" customHeight="1" thickBot="1" x14ac:dyDescent="0.3">
      <c r="A60" s="118" t="s">
        <v>65</v>
      </c>
      <c r="B60" s="119"/>
      <c r="C60" s="119"/>
      <c r="D60" s="119"/>
      <c r="E60" s="120"/>
      <c r="F60" s="121"/>
    </row>
    <row r="61" spans="1:6" s="2" customFormat="1" ht="168" customHeight="1" x14ac:dyDescent="0.25">
      <c r="A61" s="98" t="s">
        <v>66</v>
      </c>
      <c r="B61" s="107"/>
      <c r="C61" s="107"/>
      <c r="D61" s="15" t="s">
        <v>48</v>
      </c>
      <c r="E61" s="15" t="s">
        <v>49</v>
      </c>
      <c r="F61" s="14" t="s">
        <v>50</v>
      </c>
    </row>
    <row r="62" spans="1:6" s="2" customFormat="1" ht="48.75" customHeight="1" thickBot="1" x14ac:dyDescent="0.3">
      <c r="A62" s="117" t="s">
        <v>61</v>
      </c>
      <c r="B62" s="102"/>
      <c r="C62" s="102"/>
      <c r="D62" s="40">
        <f>4-(4*'Размер скидок'!E2/100)</f>
        <v>4.2</v>
      </c>
      <c r="E62" s="40">
        <f>4.2-(4.2*'Размер скидок'!E2/100)</f>
        <v>4.41</v>
      </c>
      <c r="F62" s="48">
        <f>13-(13*'Размер скидок'!E2/100)</f>
        <v>13.65</v>
      </c>
    </row>
    <row r="63" spans="1:6" s="2" customFormat="1" ht="48.75" customHeight="1" thickBot="1" x14ac:dyDescent="0.3">
      <c r="A63" s="118" t="s">
        <v>67</v>
      </c>
      <c r="B63" s="119"/>
      <c r="C63" s="119"/>
      <c r="D63" s="119"/>
      <c r="E63" s="120"/>
      <c r="F63" s="121"/>
    </row>
    <row r="64" spans="1:6" s="2" customFormat="1" ht="170.25" customHeight="1" x14ac:dyDescent="0.25">
      <c r="A64" s="98" t="s">
        <v>68</v>
      </c>
      <c r="B64" s="107"/>
      <c r="C64" s="107"/>
      <c r="D64" s="15" t="s">
        <v>48</v>
      </c>
      <c r="E64" s="15" t="s">
        <v>49</v>
      </c>
      <c r="F64" s="14" t="s">
        <v>50</v>
      </c>
    </row>
    <row r="65" spans="1:6" s="2" customFormat="1" ht="48.75" customHeight="1" thickBot="1" x14ac:dyDescent="0.3">
      <c r="A65" s="117" t="s">
        <v>61</v>
      </c>
      <c r="B65" s="102"/>
      <c r="C65" s="102"/>
      <c r="D65" s="40">
        <f>5.9-(5.9*'Размер скидок'!E2/100)</f>
        <v>6.1950000000000003</v>
      </c>
      <c r="E65" s="40">
        <f>6.1-(6.1*'Размер скидок'!E2/100)</f>
        <v>6.4049999999999994</v>
      </c>
      <c r="F65" s="48">
        <f>20-(20*'Размер скидок'!E2/100)</f>
        <v>21</v>
      </c>
    </row>
    <row r="66" spans="1:6" s="2" customFormat="1" ht="27" customHeight="1" thickBot="1" x14ac:dyDescent="0.3">
      <c r="A66" s="20"/>
      <c r="B66" s="22"/>
      <c r="C66" s="22"/>
      <c r="D66" s="26"/>
      <c r="E66" s="26"/>
      <c r="F66" s="26"/>
    </row>
    <row r="67" spans="1:6" s="2" customFormat="1" ht="18.75" customHeight="1" thickBot="1" x14ac:dyDescent="0.35">
      <c r="A67" s="104" t="s">
        <v>47</v>
      </c>
      <c r="B67" s="105"/>
      <c r="C67" s="105"/>
      <c r="D67" s="105"/>
      <c r="E67" s="105"/>
      <c r="F67" s="106"/>
    </row>
    <row r="68" spans="1:6" s="2" customFormat="1" ht="135" customHeight="1" x14ac:dyDescent="0.25">
      <c r="A68" s="122" t="s">
        <v>64</v>
      </c>
      <c r="B68" s="123"/>
      <c r="C68" s="124"/>
      <c r="D68" s="15" t="s">
        <v>48</v>
      </c>
      <c r="E68" s="15" t="s">
        <v>49</v>
      </c>
      <c r="F68" s="14" t="s">
        <v>50</v>
      </c>
    </row>
    <row r="69" spans="1:6" s="2" customFormat="1" ht="45" customHeight="1" x14ac:dyDescent="0.25">
      <c r="A69" s="125" t="s">
        <v>51</v>
      </c>
      <c r="B69" s="126"/>
      <c r="C69" s="127"/>
      <c r="D69" s="35">
        <f>5.7-(5.7*'Размер скидок'!E6/100)</f>
        <v>7.6950000000000003</v>
      </c>
      <c r="E69" s="35">
        <f>5.92-(5.92*'Размер скидок'!E6/100)</f>
        <v>7.992</v>
      </c>
      <c r="F69" s="32">
        <f>18.39-(18.39*'Размер скидок'!E6/100)</f>
        <v>24.826499999999999</v>
      </c>
    </row>
    <row r="70" spans="1:6" s="2" customFormat="1" x14ac:dyDescent="0.25">
      <c r="A70" s="125" t="s">
        <v>52</v>
      </c>
      <c r="B70" s="126"/>
      <c r="C70" s="127"/>
      <c r="D70" s="35">
        <f>5.02-(5.02*'Размер скидок'!E6/100)</f>
        <v>6.7769999999999992</v>
      </c>
      <c r="E70" s="35">
        <f>4.96-(4.96*'Размер скидок'!E6/100)</f>
        <v>6.6959999999999997</v>
      </c>
      <c r="F70" s="32">
        <f>15.51-(15.51*'Размер скидок'!E6/100)</f>
        <v>20.938500000000001</v>
      </c>
    </row>
    <row r="71" spans="1:6" s="2" customFormat="1" x14ac:dyDescent="0.25">
      <c r="A71" s="78" t="s">
        <v>53</v>
      </c>
      <c r="B71" s="75"/>
      <c r="C71" s="75"/>
      <c r="D71" s="35">
        <f>5.17-(5.17*'Размер скидок'!E6/100)</f>
        <v>6.9794999999999998</v>
      </c>
      <c r="E71" s="35">
        <f>5.39-(5.39*'Размер скидок'!E6/100)</f>
        <v>7.2764999999999995</v>
      </c>
      <c r="F71" s="32">
        <f>16.8-(16.8*'Размер скидок'!E6/100)</f>
        <v>22.68</v>
      </c>
    </row>
    <row r="72" spans="1:6" s="2" customFormat="1" x14ac:dyDescent="0.25">
      <c r="A72" s="78" t="s">
        <v>54</v>
      </c>
      <c r="B72" s="75"/>
      <c r="C72" s="75"/>
      <c r="D72" s="35">
        <f>4.79-(4.79*'Размер скидок'!E6/100)</f>
        <v>6.4664999999999999</v>
      </c>
      <c r="E72" s="35">
        <f>5-(5*'Размер скидок'!E6/100)</f>
        <v>6.75</v>
      </c>
      <c r="F72" s="32">
        <f>15.23-(15.23*'Размер скидок'!E6/100)</f>
        <v>20.560500000000001</v>
      </c>
    </row>
    <row r="73" spans="1:6" s="2" customFormat="1" x14ac:dyDescent="0.25">
      <c r="A73" s="78" t="s">
        <v>55</v>
      </c>
      <c r="B73" s="75"/>
      <c r="C73" s="75"/>
      <c r="D73" s="35">
        <f>4.16-(4.16*'Размер скидок'!E6/100)</f>
        <v>5.6159999999999997</v>
      </c>
      <c r="E73" s="35">
        <f>4.38-(4.38*'Размер скидок'!E6/100)</f>
        <v>5.9130000000000003</v>
      </c>
      <c r="F73" s="32">
        <f>13.77-(13.77*'Размер скидок'!E6/100)</f>
        <v>18.589500000000001</v>
      </c>
    </row>
    <row r="74" spans="1:6" s="2" customFormat="1" x14ac:dyDescent="0.25">
      <c r="A74" s="78" t="s">
        <v>56</v>
      </c>
      <c r="B74" s="75"/>
      <c r="C74" s="75"/>
      <c r="D74" s="35">
        <f>5.12-(5.12*'Размер скидок'!E6/100)</f>
        <v>6.9120000000000008</v>
      </c>
      <c r="E74" s="35">
        <f>5.34-(5.34*'Размер скидок'!E6/100)</f>
        <v>7.2089999999999996</v>
      </c>
      <c r="F74" s="32">
        <f>16.65-(16.65*'Размер скидок'!E6/100)</f>
        <v>22.477499999999999</v>
      </c>
    </row>
    <row r="75" spans="1:6" s="2" customFormat="1" x14ac:dyDescent="0.25">
      <c r="A75" s="78" t="s">
        <v>57</v>
      </c>
      <c r="B75" s="75"/>
      <c r="C75" s="75"/>
      <c r="D75" s="35">
        <f>4.74-(4.74* 'Размер скидок'!E6/100)</f>
        <v>6.399</v>
      </c>
      <c r="E75" s="35">
        <f>4.96-(4.96*'Размер скидок'!E6/100)</f>
        <v>6.6959999999999997</v>
      </c>
      <c r="F75" s="32">
        <f>15.51-(15.51*'Размер скидок'!E6/100)</f>
        <v>20.938500000000001</v>
      </c>
    </row>
    <row r="76" spans="1:6" s="2" customFormat="1" x14ac:dyDescent="0.25">
      <c r="A76" s="78" t="s">
        <v>58</v>
      </c>
      <c r="B76" s="75"/>
      <c r="C76" s="75"/>
      <c r="D76" s="35">
        <f>3.79-(3.79*'Размер скидок'!E6/100)</f>
        <v>5.1165000000000003</v>
      </c>
      <c r="E76" s="35">
        <f>3.98-(3.98*'Размер скидок'!E6/100)</f>
        <v>5.3730000000000002</v>
      </c>
      <c r="F76" s="32">
        <f>12.2-(12.2*'Размер скидок'!E6/100)</f>
        <v>16.47</v>
      </c>
    </row>
    <row r="77" spans="1:6" s="2" customFormat="1" x14ac:dyDescent="0.25">
      <c r="A77" s="78" t="s">
        <v>59</v>
      </c>
      <c r="B77" s="75"/>
      <c r="C77" s="75"/>
      <c r="D77" s="35">
        <f>6.1-(6.1*'Размер скидок'!E6/100)</f>
        <v>8.2349999999999994</v>
      </c>
      <c r="E77" s="35">
        <f>6.32-(6.32*'Размер скидок'!E6/100)</f>
        <v>8.532</v>
      </c>
      <c r="F77" s="32">
        <f>19.59-(19.59*'Размер скидок'!E6/100)</f>
        <v>26.4465</v>
      </c>
    </row>
    <row r="78" spans="1:6" s="2" customFormat="1" x14ac:dyDescent="0.25">
      <c r="A78" s="81" t="s">
        <v>60</v>
      </c>
      <c r="B78" s="64"/>
      <c r="C78" s="64"/>
      <c r="D78" s="49">
        <f>4.7-(4.7*'Размер скидок'!E6/100)</f>
        <v>6.3450000000000006</v>
      </c>
      <c r="E78" s="49">
        <f>4.87-(4.87*'Размер скидок'!E6/100)</f>
        <v>6.5745000000000005</v>
      </c>
      <c r="F78" s="52">
        <f>15.62-(15.62*'Размер скидок'!E6/100)</f>
        <v>21.087</v>
      </c>
    </row>
    <row r="79" spans="1:6" s="2" customFormat="1" x14ac:dyDescent="0.25">
      <c r="A79" s="81" t="s">
        <v>61</v>
      </c>
      <c r="B79" s="64"/>
      <c r="C79" s="64"/>
      <c r="D79" s="49">
        <f>3.03-(3.03*'Размер скидок'!E6/100)</f>
        <v>4.0904999999999996</v>
      </c>
      <c r="E79" s="49">
        <f>3.22-(3.22*'Размер скидок'!E6/100)</f>
        <v>4.3470000000000004</v>
      </c>
      <c r="F79" s="52">
        <f>12.71-(12.71*'Размер скидок'!E1/100)</f>
        <v>13.345500000000001</v>
      </c>
    </row>
    <row r="80" spans="1:6" s="2" customFormat="1" x14ac:dyDescent="0.25">
      <c r="A80" s="81" t="s">
        <v>62</v>
      </c>
      <c r="B80" s="64"/>
      <c r="C80" s="64"/>
      <c r="D80" s="49">
        <f>4.16-(4.16*'Размер скидок'!E6/100)</f>
        <v>5.6159999999999997</v>
      </c>
      <c r="E80" s="49">
        <f>4.33-(4.33*'Размер скидок'!E6/100)</f>
        <v>5.8455000000000004</v>
      </c>
      <c r="F80" s="52">
        <f>13.3-(13.3*'Размер скидок'!E6/100)</f>
        <v>17.955000000000002</v>
      </c>
    </row>
    <row r="81" spans="1:6" s="2" customFormat="1" ht="15.75" thickBot="1" x14ac:dyDescent="0.3">
      <c r="A81" s="164" t="s">
        <v>96</v>
      </c>
      <c r="B81" s="165"/>
      <c r="C81" s="165"/>
      <c r="D81" s="59">
        <f>4.77-(4.77*'Размер скидок'!E6/100)</f>
        <v>6.4394999999999998</v>
      </c>
      <c r="E81" s="59">
        <f>4.99-(4.99*'Размер скидок'!E6/100)</f>
        <v>6.7365000000000004</v>
      </c>
      <c r="F81" s="60">
        <f>15.6-(15.6*'Размер скидок'!E6/100)</f>
        <v>21.06</v>
      </c>
    </row>
    <row r="82" spans="1:6" s="2" customFormat="1" x14ac:dyDescent="0.25">
      <c r="A82" s="20"/>
      <c r="B82" s="21"/>
      <c r="C82" s="22"/>
      <c r="D82" s="23"/>
      <c r="E82" s="23"/>
      <c r="F82" s="23"/>
    </row>
    <row r="83" spans="1:6" s="2" customFormat="1" x14ac:dyDescent="0.25">
      <c r="A83" s="20"/>
      <c r="B83" s="21"/>
      <c r="C83" s="22"/>
      <c r="D83" s="23"/>
      <c r="E83" s="23"/>
      <c r="F83" s="23"/>
    </row>
    <row r="84" spans="1:6" s="2" customFormat="1" x14ac:dyDescent="0.25">
      <c r="A84" s="20"/>
      <c r="B84" s="21"/>
      <c r="C84" s="22"/>
      <c r="D84" s="23"/>
      <c r="E84" s="23"/>
      <c r="F84" s="23"/>
    </row>
    <row r="85" spans="1:6" s="2" customFormat="1" ht="15.75" hidden="1" thickBot="1" x14ac:dyDescent="0.3"/>
    <row r="86" spans="1:6" s="2" customFormat="1" ht="19.5" hidden="1" customHeight="1" thickBot="1" x14ac:dyDescent="0.35">
      <c r="A86" s="104" t="s">
        <v>63</v>
      </c>
      <c r="B86" s="105"/>
      <c r="C86" s="105"/>
      <c r="D86" s="105"/>
      <c r="E86" s="105"/>
      <c r="F86" s="106"/>
    </row>
    <row r="87" spans="1:6" s="2" customFormat="1" ht="136.5" hidden="1" customHeight="1" x14ac:dyDescent="0.25">
      <c r="A87" s="86" t="s">
        <v>70</v>
      </c>
      <c r="B87" s="107"/>
      <c r="C87" s="107"/>
      <c r="D87" s="15" t="s">
        <v>48</v>
      </c>
      <c r="E87" s="15" t="s">
        <v>49</v>
      </c>
      <c r="F87" s="14" t="s">
        <v>50</v>
      </c>
    </row>
    <row r="88" spans="1:6" s="2" customFormat="1" hidden="1" x14ac:dyDescent="0.25">
      <c r="A88" s="78" t="s">
        <v>51</v>
      </c>
      <c r="B88" s="75"/>
      <c r="C88" s="75"/>
      <c r="D88" s="35">
        <f>9.8-(9.8*'Размер скидок'!E1/100)</f>
        <v>10.290000000000001</v>
      </c>
      <c r="E88" s="35">
        <f>10-(10*'Размер скидок'!E1/100)</f>
        <v>10.5</v>
      </c>
      <c r="F88" s="32">
        <f>33.4-(33.4*'Размер скидок'!E1/100)</f>
        <v>35.07</v>
      </c>
    </row>
    <row r="89" spans="1:6" s="2" customFormat="1" hidden="1" x14ac:dyDescent="0.25">
      <c r="A89" s="78" t="s">
        <v>52</v>
      </c>
      <c r="B89" s="75"/>
      <c r="C89" s="75"/>
      <c r="D89" s="35">
        <f>10.1-(10.1*'Размер скидок'!E1/100)</f>
        <v>10.605</v>
      </c>
      <c r="E89" s="35">
        <f>10.2-(10.2*'Размер скидок'!E1/100)</f>
        <v>10.709999999999999</v>
      </c>
      <c r="F89" s="32">
        <f>34.3-(34.3*'Размер скидок'!E1/100)</f>
        <v>36.015000000000001</v>
      </c>
    </row>
    <row r="90" spans="1:6" s="2" customFormat="1" hidden="1" x14ac:dyDescent="0.25">
      <c r="A90" s="78" t="s">
        <v>53</v>
      </c>
      <c r="B90" s="75"/>
      <c r="C90" s="75"/>
      <c r="D90" s="35">
        <f>9.1-(9.1*'Размер скидок'!E1/100)</f>
        <v>9.5549999999999997</v>
      </c>
      <c r="E90" s="35">
        <f>9.3-(9.3*'Размер скидок'!E1/100)</f>
        <v>9.7650000000000006</v>
      </c>
      <c r="F90" s="32">
        <f>31.3-(31.3*'Размер скидок'!E1/100)</f>
        <v>32.865000000000002</v>
      </c>
    </row>
    <row r="91" spans="1:6" s="2" customFormat="1" hidden="1" x14ac:dyDescent="0.25">
      <c r="A91" s="78" t="s">
        <v>54</v>
      </c>
      <c r="B91" s="75"/>
      <c r="C91" s="75"/>
      <c r="D91" s="35">
        <f>9.8-(9.8*'Размер скидок'!E1/100)</f>
        <v>10.290000000000001</v>
      </c>
      <c r="E91" s="35">
        <f>10-(10*'Размер скидок'!E1/100)</f>
        <v>10.5</v>
      </c>
      <c r="F91" s="32">
        <f>33.4-(33.4*'Размер скидок'!E1/100)</f>
        <v>35.07</v>
      </c>
    </row>
    <row r="92" spans="1:6" s="2" customFormat="1" hidden="1" x14ac:dyDescent="0.25">
      <c r="A92" s="78" t="s">
        <v>55</v>
      </c>
      <c r="B92" s="75"/>
      <c r="C92" s="75"/>
      <c r="D92" s="35">
        <f>9.2-(9.2*'Размер скидок'!E1/100)</f>
        <v>9.66</v>
      </c>
      <c r="E92" s="35">
        <f>9.3-(9.3*'Размер скидок'!E1/100)</f>
        <v>9.7650000000000006</v>
      </c>
      <c r="F92" s="32">
        <f>31.6-(31.6*'Размер скидок'!E1/100)</f>
        <v>33.18</v>
      </c>
    </row>
    <row r="93" spans="1:6" s="2" customFormat="1" hidden="1" x14ac:dyDescent="0.25">
      <c r="A93" s="78" t="s">
        <v>56</v>
      </c>
      <c r="B93" s="75"/>
      <c r="C93" s="75"/>
      <c r="D93" s="35">
        <f>9.5-(9.5*'Размер скидок'!E1/100)</f>
        <v>9.9749999999999996</v>
      </c>
      <c r="E93" s="35">
        <f>9.6-(9.6*'Размер скидок'!E1/100)</f>
        <v>10.08</v>
      </c>
      <c r="F93" s="32">
        <f>32.5-(32.5*'Размер скидок'!E1/100)</f>
        <v>34.125</v>
      </c>
    </row>
    <row r="94" spans="1:6" s="2" customFormat="1" hidden="1" x14ac:dyDescent="0.25">
      <c r="A94" s="78" t="s">
        <v>57</v>
      </c>
      <c r="B94" s="75"/>
      <c r="C94" s="75"/>
      <c r="D94" s="35">
        <f>9.2-(9.2*'Размер скидок'!E1/100)</f>
        <v>9.66</v>
      </c>
      <c r="E94" s="35">
        <f>9.3-(9.3*'Размер скидок'!E1/100)</f>
        <v>9.7650000000000006</v>
      </c>
      <c r="F94" s="32">
        <f>31.6-(31.6*'Размер скидок'!E1/100)</f>
        <v>33.18</v>
      </c>
    </row>
    <row r="95" spans="1:6" s="2" customFormat="1" hidden="1" x14ac:dyDescent="0.25">
      <c r="A95" s="78" t="s">
        <v>58</v>
      </c>
      <c r="B95" s="75"/>
      <c r="C95" s="75"/>
      <c r="D95" s="35">
        <f>9.9-(9.9*'Размер скидок'!E1/100)</f>
        <v>10.395</v>
      </c>
      <c r="E95" s="35">
        <f>10-(10*'Размер скидок'!E1/100)</f>
        <v>10.5</v>
      </c>
      <c r="F95" s="32">
        <f>37.7-(37.7*'Размер скидок'!E1/100)</f>
        <v>39.585000000000001</v>
      </c>
    </row>
    <row r="96" spans="1:6" s="2" customFormat="1" hidden="1" x14ac:dyDescent="0.25">
      <c r="A96" s="78" t="s">
        <v>59</v>
      </c>
      <c r="B96" s="75"/>
      <c r="C96" s="75"/>
      <c r="D96" s="35">
        <f>9.3-(9.3*'Размер скидок'!E1/100)</f>
        <v>9.7650000000000006</v>
      </c>
      <c r="E96" s="35">
        <f>9.4-(9.4*'Размер скидок'!E1/100)</f>
        <v>9.870000000000001</v>
      </c>
      <c r="F96" s="32">
        <f>31.9-(31.9*'Размер скидок'!E1/100)</f>
        <v>33.494999999999997</v>
      </c>
    </row>
    <row r="97" spans="1:6" s="2" customFormat="1" hidden="1" x14ac:dyDescent="0.25">
      <c r="A97" s="78" t="s">
        <v>60</v>
      </c>
      <c r="B97" s="75"/>
      <c r="C97" s="75"/>
      <c r="D97" s="35">
        <f>9.7-(9.7*'Размер скидок'!E1/100)</f>
        <v>10.184999999999999</v>
      </c>
      <c r="E97" s="35">
        <f>9.6-(9.6*'Размер скидок'!E1/100)</f>
        <v>10.08</v>
      </c>
      <c r="F97" s="32">
        <f>29.5-(29.5*'Размер скидок'!E1/100)</f>
        <v>30.975000000000001</v>
      </c>
    </row>
    <row r="98" spans="1:6" s="2" customFormat="1" hidden="1" x14ac:dyDescent="0.25">
      <c r="A98" s="78" t="s">
        <v>61</v>
      </c>
      <c r="B98" s="75"/>
      <c r="C98" s="75"/>
      <c r="D98" s="35">
        <f>8.1-(8.1*'Размер скидок'!E1/100)</f>
        <v>8.504999999999999</v>
      </c>
      <c r="E98" s="35">
        <f>8.2-(8.2*'Размер скидок'!E1/100)</f>
        <v>8.61</v>
      </c>
      <c r="F98" s="32">
        <f>28.3-(28.3*'Размер скидок'!E1/100)</f>
        <v>29.715</v>
      </c>
    </row>
    <row r="99" spans="1:6" s="2" customFormat="1" ht="15.75" hidden="1" thickBot="1" x14ac:dyDescent="0.3">
      <c r="A99" s="79" t="s">
        <v>62</v>
      </c>
      <c r="B99" s="80"/>
      <c r="C99" s="80"/>
      <c r="D99" s="36">
        <f>9.2-(9.2*'Размер скидок'!E1/100)</f>
        <v>9.66</v>
      </c>
      <c r="E99" s="36">
        <f>9.4-(9.4*'Размер скидок'!E1/100)</f>
        <v>9.870000000000001</v>
      </c>
      <c r="F99" s="33">
        <f>31.16-(31.16*'Размер скидок'!E1/100)</f>
        <v>32.718000000000004</v>
      </c>
    </row>
    <row r="100" spans="1:6" s="2" customFormat="1" ht="15.75" thickBot="1" x14ac:dyDescent="0.3">
      <c r="A100" s="20"/>
      <c r="B100" s="22"/>
      <c r="C100" s="22"/>
      <c r="D100" s="44"/>
      <c r="E100" s="44"/>
      <c r="F100" s="44"/>
    </row>
    <row r="101" spans="1:6" ht="27" customHeight="1" thickBot="1" x14ac:dyDescent="0.4">
      <c r="A101" s="151" t="s">
        <v>87</v>
      </c>
      <c r="B101" s="152"/>
      <c r="C101" s="152"/>
      <c r="D101" s="152"/>
      <c r="E101" s="152"/>
      <c r="F101" s="153"/>
    </row>
    <row r="102" spans="1:6" s="2" customFormat="1" ht="18" customHeight="1" thickBot="1" x14ac:dyDescent="0.35">
      <c r="A102" s="91" t="s">
        <v>91</v>
      </c>
      <c r="B102" s="92"/>
      <c r="C102" s="92"/>
      <c r="D102" s="92"/>
      <c r="E102" s="96"/>
      <c r="F102" s="97"/>
    </row>
    <row r="103" spans="1:6" s="2" customFormat="1" ht="98.25" customHeight="1" x14ac:dyDescent="0.25">
      <c r="A103" s="98" t="s">
        <v>89</v>
      </c>
      <c r="B103" s="87"/>
      <c r="C103" s="87"/>
      <c r="D103" s="87"/>
      <c r="E103" s="15" t="s">
        <v>32</v>
      </c>
      <c r="F103" s="14" t="s">
        <v>108</v>
      </c>
    </row>
    <row r="104" spans="1:6" s="2" customFormat="1" x14ac:dyDescent="0.25">
      <c r="A104" s="74" t="s">
        <v>98</v>
      </c>
      <c r="B104" s="75"/>
      <c r="C104" s="75"/>
      <c r="D104" s="75"/>
      <c r="E104" s="49">
        <f>3.81-(3.81*'Размер скидок'!E5/100)</f>
        <v>4.8768000000000002</v>
      </c>
      <c r="F104" s="52">
        <f>4.01-(4.01*'Размер скидок'!E5/100)</f>
        <v>5.1327999999999996</v>
      </c>
    </row>
    <row r="105" spans="1:6" s="2" customFormat="1" x14ac:dyDescent="0.25">
      <c r="A105" s="71" t="s">
        <v>99</v>
      </c>
      <c r="B105" s="72"/>
      <c r="C105" s="72"/>
      <c r="D105" s="73"/>
      <c r="E105" s="49">
        <f>5.5-(5.5*'Размер скидок'!E5/100)</f>
        <v>7.04</v>
      </c>
      <c r="F105" s="52">
        <f>5.7-(5.7*'Размер скидок'!E5/100)</f>
        <v>7.2960000000000003</v>
      </c>
    </row>
    <row r="106" spans="1:6" s="2" customFormat="1" x14ac:dyDescent="0.25">
      <c r="A106" s="74" t="s">
        <v>100</v>
      </c>
      <c r="B106" s="75"/>
      <c r="C106" s="75"/>
      <c r="D106" s="75"/>
      <c r="E106" s="49">
        <f>4.86-(4.86*'Размер скидок'!E5/100)</f>
        <v>6.2208000000000006</v>
      </c>
      <c r="F106" s="52">
        <f>5.06-(5.06*'Размер скидок'!E5/100)</f>
        <v>6.476799999999999</v>
      </c>
    </row>
    <row r="107" spans="1:6" s="2" customFormat="1" x14ac:dyDescent="0.25">
      <c r="A107" s="74" t="s">
        <v>101</v>
      </c>
      <c r="B107" s="75"/>
      <c r="C107" s="75"/>
      <c r="D107" s="75"/>
      <c r="E107" s="49">
        <f>4.66-(4.66*'Размер скидок'!E5/100)</f>
        <v>5.9648000000000003</v>
      </c>
      <c r="F107" s="52">
        <f>4.86-(4.86*'Размер скидок'!E5/100)</f>
        <v>6.2208000000000006</v>
      </c>
    </row>
    <row r="108" spans="1:6" s="2" customFormat="1" x14ac:dyDescent="0.25">
      <c r="A108" s="74" t="s">
        <v>102</v>
      </c>
      <c r="B108" s="75"/>
      <c r="C108" s="75"/>
      <c r="D108" s="75"/>
      <c r="E108" s="49">
        <f>3.97-(3.97*'Размер скидок'!E5/100)</f>
        <v>5.0815999999999999</v>
      </c>
      <c r="F108" s="52">
        <f>4.17-(4.17*'Размер скидок'!E5/100)</f>
        <v>5.3376000000000001</v>
      </c>
    </row>
    <row r="109" spans="1:6" s="2" customFormat="1" x14ac:dyDescent="0.25">
      <c r="A109" s="74" t="s">
        <v>62</v>
      </c>
      <c r="B109" s="75"/>
      <c r="C109" s="75"/>
      <c r="D109" s="75"/>
      <c r="E109" s="49">
        <f>4.58-(4.58*'Размер скидок'!E5/100)</f>
        <v>5.8624000000000001</v>
      </c>
      <c r="F109" s="52">
        <f>4.78-(4.78*'Размер скидок'!E5/100)</f>
        <v>6.1184000000000003</v>
      </c>
    </row>
    <row r="110" spans="1:6" s="2" customFormat="1" x14ac:dyDescent="0.25">
      <c r="A110" s="74" t="s">
        <v>103</v>
      </c>
      <c r="B110" s="75"/>
      <c r="C110" s="75"/>
      <c r="D110" s="75"/>
      <c r="E110" s="49">
        <f>4.72-(4.72*'Размер скидок'!E5/100)</f>
        <v>6.0415999999999999</v>
      </c>
      <c r="F110" s="52">
        <f>4.92-(4.92*'Размер скидок'!E5/100)</f>
        <v>6.2976000000000001</v>
      </c>
    </row>
    <row r="111" spans="1:6" s="2" customFormat="1" x14ac:dyDescent="0.25">
      <c r="A111" s="74" t="s">
        <v>104</v>
      </c>
      <c r="B111" s="75"/>
      <c r="C111" s="75"/>
      <c r="D111" s="75"/>
      <c r="E111" s="49">
        <f>4.74-(4.74*'Размер скидок'!E4/100)</f>
        <v>4.9770000000000003</v>
      </c>
      <c r="F111" s="52">
        <f>4.94-(4.94*'Размер скидок'!E4/100)</f>
        <v>5.1870000000000003</v>
      </c>
    </row>
    <row r="112" spans="1:6" s="2" customFormat="1" x14ac:dyDescent="0.25">
      <c r="A112" s="74" t="s">
        <v>97</v>
      </c>
      <c r="B112" s="75"/>
      <c r="C112" s="75"/>
      <c r="D112" s="75"/>
      <c r="E112" s="49">
        <f>4.73-(4.73*'Размер скидок'!E5/100)</f>
        <v>6.0544000000000002</v>
      </c>
      <c r="F112" s="52">
        <f>4.93-(4.93*'Размер скидок'!E5/100)</f>
        <v>6.3103999999999996</v>
      </c>
    </row>
    <row r="113" spans="1:6" s="2" customFormat="1" x14ac:dyDescent="0.25">
      <c r="A113" s="76" t="s">
        <v>105</v>
      </c>
      <c r="B113" s="77"/>
      <c r="C113" s="77"/>
      <c r="D113" s="77"/>
      <c r="E113" s="51">
        <f>3.79-(3.79*'Размер скидок'!E5/100)</f>
        <v>4.8512000000000004</v>
      </c>
      <c r="F113" s="52">
        <f>3.99-(3.99*'Размер скидок'!E5/100)</f>
        <v>5.1072000000000006</v>
      </c>
    </row>
    <row r="114" spans="1:6" s="2" customFormat="1" ht="18.75" customHeight="1" thickBot="1" x14ac:dyDescent="0.35">
      <c r="A114" s="91" t="s">
        <v>79</v>
      </c>
      <c r="B114" s="92"/>
      <c r="C114" s="92"/>
      <c r="D114" s="92"/>
      <c r="E114" s="96"/>
      <c r="F114" s="97"/>
    </row>
    <row r="115" spans="1:6" s="2" customFormat="1" ht="166.5" customHeight="1" x14ac:dyDescent="0.25">
      <c r="A115" s="99" t="s">
        <v>114</v>
      </c>
      <c r="B115" s="100"/>
      <c r="C115" s="100"/>
      <c r="D115" s="100"/>
      <c r="E115" s="57" t="s">
        <v>32</v>
      </c>
      <c r="F115" s="58" t="s">
        <v>108</v>
      </c>
    </row>
    <row r="116" spans="1:6" s="2" customFormat="1" ht="15.75" customHeight="1" x14ac:dyDescent="0.25">
      <c r="A116" s="74" t="s">
        <v>98</v>
      </c>
      <c r="B116" s="75"/>
      <c r="C116" s="75"/>
      <c r="D116" s="75"/>
      <c r="E116" s="49">
        <f>4.18-(4.18*'Размер скидок'!E5/100)</f>
        <v>5.3503999999999996</v>
      </c>
      <c r="F116" s="52">
        <f>4.38-(4.38*'Размер скидок'!E5/100)</f>
        <v>5.6063999999999998</v>
      </c>
    </row>
    <row r="117" spans="1:6" s="2" customFormat="1" ht="15.75" customHeight="1" x14ac:dyDescent="0.25">
      <c r="A117" s="71" t="s">
        <v>99</v>
      </c>
      <c r="B117" s="72"/>
      <c r="C117" s="72"/>
      <c r="D117" s="73"/>
      <c r="E117" s="49">
        <f>5.2-(5.2*'Размер скидок'!E5/100)</f>
        <v>6.6560000000000006</v>
      </c>
      <c r="F117" s="52">
        <f>5.4-(5.4*'Размер скидок'!E5/100)</f>
        <v>6.9120000000000008</v>
      </c>
    </row>
    <row r="118" spans="1:6" s="2" customFormat="1" ht="15.75" customHeight="1" x14ac:dyDescent="0.25">
      <c r="A118" s="74" t="s">
        <v>100</v>
      </c>
      <c r="B118" s="75"/>
      <c r="C118" s="75"/>
      <c r="D118" s="75"/>
      <c r="E118" s="49">
        <f>4.86-(4.86*'Размер скидок'!E5/100)</f>
        <v>6.2208000000000006</v>
      </c>
      <c r="F118" s="52">
        <f>5.06-(5.06*'Размер скидок'!E5/100)</f>
        <v>6.476799999999999</v>
      </c>
    </row>
    <row r="119" spans="1:6" s="2" customFormat="1" ht="15.75" customHeight="1" x14ac:dyDescent="0.25">
      <c r="A119" s="74" t="s">
        <v>101</v>
      </c>
      <c r="B119" s="75"/>
      <c r="C119" s="75"/>
      <c r="D119" s="75"/>
      <c r="E119" s="49">
        <f>3.87-(3.87*'Размер скидок'!E5/100)</f>
        <v>4.9535999999999998</v>
      </c>
      <c r="F119" s="52">
        <f>4.07-(4.07*'Размер скидок'!E5/100)</f>
        <v>5.2096</v>
      </c>
    </row>
    <row r="120" spans="1:6" s="2" customFormat="1" ht="14.25" customHeight="1" x14ac:dyDescent="0.25">
      <c r="A120" s="74" t="s">
        <v>102</v>
      </c>
      <c r="B120" s="75"/>
      <c r="C120" s="75"/>
      <c r="D120" s="75"/>
      <c r="E120" s="49">
        <f>4.54-(4.54*'Размер скидок'!E5/100)</f>
        <v>5.8112000000000004</v>
      </c>
      <c r="F120" s="52">
        <f>4.74-(4.74*'Размер скидок'!E5/100)</f>
        <v>6.0671999999999997</v>
      </c>
    </row>
    <row r="121" spans="1:6" s="2" customFormat="1" ht="15.75" customHeight="1" x14ac:dyDescent="0.25">
      <c r="A121" s="74" t="s">
        <v>86</v>
      </c>
      <c r="B121" s="75"/>
      <c r="C121" s="75"/>
      <c r="D121" s="75"/>
      <c r="E121" s="49">
        <f>4.45-(4.45*'Размер скидок'!E5/100)</f>
        <v>5.6959999999999997</v>
      </c>
      <c r="F121" s="52">
        <f>4.65-(4.65*'Размер скидок'!E5/100)</f>
        <v>5.9520000000000008</v>
      </c>
    </row>
    <row r="122" spans="1:6" s="2" customFormat="1" ht="15.75" customHeight="1" x14ac:dyDescent="0.25">
      <c r="A122" s="74" t="s">
        <v>103</v>
      </c>
      <c r="B122" s="75"/>
      <c r="C122" s="75"/>
      <c r="D122" s="75"/>
      <c r="E122" s="49">
        <f>4.33-(4.33*'Размер скидок'!E5/100)</f>
        <v>5.5424000000000007</v>
      </c>
      <c r="F122" s="52">
        <f>4.53-(4.53*'Размер скидок'!E5/100)</f>
        <v>5.7984</v>
      </c>
    </row>
    <row r="123" spans="1:6" s="2" customFormat="1" ht="15.75" customHeight="1" x14ac:dyDescent="0.25">
      <c r="A123" s="74" t="s">
        <v>104</v>
      </c>
      <c r="B123" s="75"/>
      <c r="C123" s="75"/>
      <c r="D123" s="75"/>
      <c r="E123" s="49">
        <f>4.8-(4.8*'Размер скидок'!E5/100)</f>
        <v>6.1440000000000001</v>
      </c>
      <c r="F123" s="52">
        <f>5-(5*'Размер скидок'!E5/100)</f>
        <v>6.4</v>
      </c>
    </row>
    <row r="124" spans="1:6" s="2" customFormat="1" ht="15.75" customHeight="1" x14ac:dyDescent="0.25">
      <c r="A124" s="63" t="s">
        <v>110</v>
      </c>
      <c r="B124" s="64"/>
      <c r="C124" s="64"/>
      <c r="D124" s="64"/>
      <c r="E124" s="49">
        <f>4.44-(4.44*'Размер скидок'!E5/100)</f>
        <v>5.6832000000000003</v>
      </c>
      <c r="F124" s="52">
        <f>4.65-(4.65*'Размер скидок'!E5/100)</f>
        <v>5.9520000000000008</v>
      </c>
    </row>
    <row r="125" spans="1:6" s="2" customFormat="1" ht="15.75" customHeight="1" x14ac:dyDescent="0.25">
      <c r="A125" s="74" t="s">
        <v>97</v>
      </c>
      <c r="B125" s="75"/>
      <c r="C125" s="75"/>
      <c r="D125" s="75"/>
      <c r="E125" s="49">
        <f>4.34-(4.34*'Размер скидок'!E5/100)</f>
        <v>5.5552000000000001</v>
      </c>
      <c r="F125" s="52">
        <f>4.54-(4.54*'Размер скидок'!E5/100)</f>
        <v>5.8112000000000004</v>
      </c>
    </row>
    <row r="126" spans="1:6" s="2" customFormat="1" ht="15.75" thickBot="1" x14ac:dyDescent="0.3">
      <c r="A126" s="88" t="s">
        <v>105</v>
      </c>
      <c r="B126" s="89"/>
      <c r="C126" s="89"/>
      <c r="D126" s="90"/>
      <c r="E126" s="55">
        <f>4.1-(4.1*'Размер скидок'!E5/100)</f>
        <v>5.2479999999999993</v>
      </c>
      <c r="F126" s="56">
        <f>4.3-(4.3*'Размер скидок'!E5/100)</f>
        <v>5.5039999999999996</v>
      </c>
    </row>
    <row r="127" spans="1:6" ht="18.75" customHeight="1" thickBot="1" x14ac:dyDescent="0.35">
      <c r="A127" s="91" t="s">
        <v>80</v>
      </c>
      <c r="B127" s="92"/>
      <c r="C127" s="92"/>
      <c r="D127" s="92"/>
      <c r="E127" s="84"/>
      <c r="F127" s="85"/>
    </row>
    <row r="128" spans="1:6" ht="111" customHeight="1" x14ac:dyDescent="0.25">
      <c r="A128" s="93" t="s">
        <v>90</v>
      </c>
      <c r="B128" s="94"/>
      <c r="C128" s="94"/>
      <c r="D128" s="94"/>
      <c r="E128" s="53" t="s">
        <v>32</v>
      </c>
      <c r="F128" s="54" t="s">
        <v>108</v>
      </c>
    </row>
    <row r="129" spans="1:8" x14ac:dyDescent="0.25">
      <c r="A129" s="95" t="s">
        <v>27</v>
      </c>
      <c r="B129" s="95"/>
      <c r="C129" s="95"/>
      <c r="D129" s="95"/>
      <c r="E129" s="49">
        <f>3.2-(3.2*'Размер скидок'!E5/100)</f>
        <v>4.0960000000000001</v>
      </c>
      <c r="F129" s="52">
        <f>3.4-(3.4*'Размер скидок'!E5/100)</f>
        <v>4.3520000000000003</v>
      </c>
    </row>
    <row r="130" spans="1:8" s="2" customFormat="1" ht="15.75" thickBot="1" x14ac:dyDescent="0.3">
      <c r="A130" s="102" t="s">
        <v>26</v>
      </c>
      <c r="B130" s="102"/>
      <c r="C130" s="102"/>
      <c r="D130" s="102"/>
      <c r="E130" s="55">
        <f>3.6-(3.6*'Размер скидок'!E5/100)</f>
        <v>4.6080000000000005</v>
      </c>
      <c r="F130" s="56">
        <f>3.8-(3.8*'Размер скидок'!E5/100)</f>
        <v>4.8639999999999999</v>
      </c>
    </row>
    <row r="131" spans="1:8" s="2" customFormat="1" x14ac:dyDescent="0.25">
      <c r="A131" s="46"/>
      <c r="B131" s="46"/>
      <c r="C131" s="46"/>
      <c r="D131" s="46"/>
      <c r="E131" s="47"/>
      <c r="F131" s="47"/>
    </row>
    <row r="132" spans="1:8" s="2" customFormat="1" x14ac:dyDescent="0.25">
      <c r="A132" s="46"/>
      <c r="B132" s="46"/>
      <c r="C132" s="46"/>
      <c r="D132" s="46"/>
      <c r="E132" s="47"/>
      <c r="F132" s="47"/>
    </row>
    <row r="133" spans="1:8" s="2" customFormat="1" x14ac:dyDescent="0.25">
      <c r="A133" s="46"/>
      <c r="B133" s="46"/>
      <c r="C133" s="46"/>
      <c r="D133" s="46"/>
      <c r="E133" s="47"/>
      <c r="F133" s="47"/>
    </row>
    <row r="134" spans="1:8" s="2" customFormat="1" x14ac:dyDescent="0.25">
      <c r="A134" s="46"/>
      <c r="B134" s="46"/>
      <c r="C134" s="46"/>
      <c r="D134" s="46"/>
      <c r="E134" s="47"/>
      <c r="F134" s="47"/>
    </row>
    <row r="135" spans="1:8" s="2" customFormat="1" ht="15.75" thickBot="1" x14ac:dyDescent="0.3">
      <c r="A135" s="46"/>
      <c r="B135" s="46"/>
      <c r="C135" s="46"/>
      <c r="D135" s="46"/>
      <c r="E135" s="47"/>
      <c r="F135" s="47"/>
    </row>
    <row r="136" spans="1:8" s="2" customFormat="1" ht="24" thickBot="1" x14ac:dyDescent="0.4">
      <c r="A136" s="151" t="s">
        <v>84</v>
      </c>
      <c r="B136" s="152"/>
      <c r="C136" s="152"/>
      <c r="D136" s="152"/>
      <c r="E136" s="152"/>
      <c r="F136" s="153"/>
    </row>
    <row r="137" spans="1:8" ht="21" customHeight="1" thickBot="1" x14ac:dyDescent="0.35">
      <c r="A137" s="91" t="s">
        <v>81</v>
      </c>
      <c r="B137" s="92"/>
      <c r="C137" s="92"/>
      <c r="D137" s="92"/>
      <c r="E137" s="96"/>
      <c r="F137" s="97"/>
    </row>
    <row r="138" spans="1:8" ht="95.25" customHeight="1" x14ac:dyDescent="0.25">
      <c r="A138" s="86" t="s">
        <v>83</v>
      </c>
      <c r="B138" s="87"/>
      <c r="C138" s="87"/>
      <c r="D138" s="87"/>
      <c r="E138" s="15" t="s">
        <v>32</v>
      </c>
      <c r="F138" s="14" t="s">
        <v>108</v>
      </c>
    </row>
    <row r="139" spans="1:8" x14ac:dyDescent="0.25">
      <c r="A139" s="101" t="s">
        <v>27</v>
      </c>
      <c r="B139" s="95"/>
      <c r="C139" s="95"/>
      <c r="D139" s="95"/>
      <c r="E139" s="49">
        <f>2.98-(2.98*'Размер скидок'!E5/100)</f>
        <v>3.8144</v>
      </c>
      <c r="F139" s="52">
        <f>3.18-(3.18*'Размер скидок'!E5/100)</f>
        <v>4.0704000000000002</v>
      </c>
    </row>
    <row r="140" spans="1:8" s="2" customFormat="1" ht="15.75" thickBot="1" x14ac:dyDescent="0.3">
      <c r="A140" s="103" t="s">
        <v>88</v>
      </c>
      <c r="B140" s="102"/>
      <c r="C140" s="102"/>
      <c r="D140" s="102"/>
      <c r="E140" s="55">
        <f>3.35-(3.35*'Размер скидок'!E5/100)</f>
        <v>4.2880000000000003</v>
      </c>
      <c r="F140" s="56">
        <f>3.55-(3.55*'Размер скидок'!E5/100)</f>
        <v>4.5439999999999996</v>
      </c>
    </row>
    <row r="141" spans="1:8" ht="18" customHeight="1" thickBot="1" x14ac:dyDescent="0.35">
      <c r="A141" s="82" t="s">
        <v>82</v>
      </c>
      <c r="B141" s="83"/>
      <c r="C141" s="83"/>
      <c r="D141" s="83"/>
      <c r="E141" s="84"/>
      <c r="F141" s="85"/>
    </row>
    <row r="142" spans="1:8" ht="102" customHeight="1" x14ac:dyDescent="0.25">
      <c r="A142" s="86" t="s">
        <v>78</v>
      </c>
      <c r="B142" s="87"/>
      <c r="C142" s="87"/>
      <c r="D142" s="87"/>
      <c r="E142" s="15" t="s">
        <v>32</v>
      </c>
      <c r="F142" s="14" t="s">
        <v>108</v>
      </c>
    </row>
    <row r="143" spans="1:8" x14ac:dyDescent="0.25">
      <c r="A143" s="74" t="s">
        <v>107</v>
      </c>
      <c r="B143" s="75"/>
      <c r="C143" s="75"/>
      <c r="D143" s="75"/>
      <c r="E143" s="49">
        <f>3.47-(3.47*'Размер скидок'!E5/100)</f>
        <v>4.4416000000000002</v>
      </c>
      <c r="F143" s="52">
        <f>3.67-(3.67*'Размер скидок'!E5/100)</f>
        <v>4.6975999999999996</v>
      </c>
      <c r="H143" s="45"/>
    </row>
    <row r="144" spans="1:8" x14ac:dyDescent="0.25">
      <c r="A144" s="71" t="s">
        <v>99</v>
      </c>
      <c r="B144" s="72"/>
      <c r="C144" s="72"/>
      <c r="D144" s="73"/>
      <c r="E144" s="49">
        <f>4.32-(4.32*'Размер скидок'!E5/100)</f>
        <v>5.5296000000000003</v>
      </c>
      <c r="F144" s="52">
        <f>4.52-(4.52*'Размер скидок'!E5/100)</f>
        <v>5.7855999999999996</v>
      </c>
    </row>
    <row r="145" spans="1:6" x14ac:dyDescent="0.25">
      <c r="A145" s="74" t="s">
        <v>100</v>
      </c>
      <c r="B145" s="75"/>
      <c r="C145" s="75"/>
      <c r="D145" s="75"/>
      <c r="E145" s="49">
        <f>4.03-(4.03*'Размер скидок'!E5/100)</f>
        <v>5.1584000000000003</v>
      </c>
      <c r="F145" s="52">
        <f>4.23-(4.23*'Размер скидок'!E5/100)</f>
        <v>5.4144000000000005</v>
      </c>
    </row>
    <row r="146" spans="1:6" x14ac:dyDescent="0.25">
      <c r="A146" s="74" t="s">
        <v>101</v>
      </c>
      <c r="B146" s="75"/>
      <c r="C146" s="75"/>
      <c r="D146" s="75"/>
      <c r="E146" s="49">
        <f>3.21-(3.21*'Размер скидок'!E5/100)</f>
        <v>4.1087999999999996</v>
      </c>
      <c r="F146" s="52">
        <f>3.41-(3.41*'Размер скидок'!E5/100)</f>
        <v>4.3648000000000007</v>
      </c>
    </row>
    <row r="147" spans="1:6" x14ac:dyDescent="0.25">
      <c r="A147" s="74" t="s">
        <v>102</v>
      </c>
      <c r="B147" s="75"/>
      <c r="C147" s="75"/>
      <c r="D147" s="75"/>
      <c r="E147" s="49">
        <f>3.77-(3.77*'Размер скидок'!E5/100)</f>
        <v>4.8255999999999997</v>
      </c>
      <c r="F147" s="52">
        <f>3.97-(3.97*'Размер скидок'!E5/100)</f>
        <v>5.0815999999999999</v>
      </c>
    </row>
    <row r="148" spans="1:6" x14ac:dyDescent="0.25">
      <c r="A148" s="74" t="s">
        <v>62</v>
      </c>
      <c r="B148" s="75"/>
      <c r="C148" s="75"/>
      <c r="D148" s="75"/>
      <c r="E148" s="49">
        <f>3.69-(3.69*'Размер скидок'!E5/100)</f>
        <v>4.7232000000000003</v>
      </c>
      <c r="F148" s="52">
        <f>3.89-(3.89*'Размер скидок'!E5/100)</f>
        <v>4.9792000000000005</v>
      </c>
    </row>
    <row r="149" spans="1:6" s="2" customFormat="1" ht="15.75" customHeight="1" x14ac:dyDescent="0.25">
      <c r="A149" s="65" t="s">
        <v>110</v>
      </c>
      <c r="B149" s="66"/>
      <c r="C149" s="66"/>
      <c r="D149" s="67"/>
      <c r="E149" s="49">
        <f xml:space="preserve"> 3.64-(3.64*'Размер скидок'!E5/100)</f>
        <v>4.6592000000000002</v>
      </c>
      <c r="F149" s="52">
        <f>3.85-(3.85*'Размер скидок'!E5/100)</f>
        <v>4.9279999999999999</v>
      </c>
    </row>
    <row r="150" spans="1:6" x14ac:dyDescent="0.25">
      <c r="A150" s="74" t="s">
        <v>103</v>
      </c>
      <c r="B150" s="75"/>
      <c r="C150" s="75"/>
      <c r="D150" s="75"/>
      <c r="E150" s="49">
        <f>3.59-(3.59*'Размер скидок'!E5/100)</f>
        <v>4.5952000000000002</v>
      </c>
      <c r="F150" s="52">
        <f>3.79-(3.79*'Размер скидок'!E5/100)</f>
        <v>4.8512000000000004</v>
      </c>
    </row>
    <row r="151" spans="1:6" x14ac:dyDescent="0.25">
      <c r="A151" s="74" t="s">
        <v>104</v>
      </c>
      <c r="B151" s="75"/>
      <c r="C151" s="75"/>
      <c r="D151" s="75"/>
      <c r="E151" s="49">
        <f>3.98-(3.98*'Размер скидок'!E5/100)</f>
        <v>5.0944000000000003</v>
      </c>
      <c r="F151" s="52">
        <f>4.18-(4.18*'Размер скидок'!E5/100)</f>
        <v>5.3503999999999996</v>
      </c>
    </row>
    <row r="152" spans="1:6" s="2" customFormat="1" x14ac:dyDescent="0.25">
      <c r="A152" s="74" t="s">
        <v>97</v>
      </c>
      <c r="B152" s="75"/>
      <c r="C152" s="75"/>
      <c r="D152" s="75"/>
      <c r="E152" s="49">
        <f>3.6-(3.6*'Размер скидок'!E5/100)</f>
        <v>4.6080000000000005</v>
      </c>
      <c r="F152" s="52">
        <f>3.8-(3.8*'Размер скидок'!E5/100)</f>
        <v>4.8639999999999999</v>
      </c>
    </row>
    <row r="153" spans="1:6" ht="15.75" thickBot="1" x14ac:dyDescent="0.3">
      <c r="A153" s="142" t="s">
        <v>105</v>
      </c>
      <c r="B153" s="80"/>
      <c r="C153" s="80"/>
      <c r="D153" s="80"/>
      <c r="E153" s="55">
        <f>3.4-(3.4*'Размер скидок'!E5/100)</f>
        <v>4.3520000000000003</v>
      </c>
      <c r="F153" s="56">
        <f>3.6-(3.6*'Размер скидок'!E5/100)</f>
        <v>4.6080000000000005</v>
      </c>
    </row>
  </sheetData>
  <mergeCells count="133">
    <mergeCell ref="A81:C81"/>
    <mergeCell ref="A125:D125"/>
    <mergeCell ref="A152:D152"/>
    <mergeCell ref="A111:D111"/>
    <mergeCell ref="A8:B8"/>
    <mergeCell ref="A10:C10"/>
    <mergeCell ref="A11:C11"/>
    <mergeCell ref="A13:D13"/>
    <mergeCell ref="A14:D14"/>
    <mergeCell ref="A15:D15"/>
    <mergeCell ref="A17:D17"/>
    <mergeCell ref="A18:D18"/>
    <mergeCell ref="A19:D19"/>
    <mergeCell ref="A150:D150"/>
    <mergeCell ref="A151:D151"/>
    <mergeCell ref="A34:F34"/>
    <mergeCell ref="A35:E35"/>
    <mergeCell ref="A21:F21"/>
    <mergeCell ref="A22:E22"/>
    <mergeCell ref="A23:E23"/>
    <mergeCell ref="A24:E24"/>
    <mergeCell ref="A31:F31"/>
    <mergeCell ref="A29:E29"/>
    <mergeCell ref="A30:E30"/>
    <mergeCell ref="A153:D153"/>
    <mergeCell ref="A2:F2"/>
    <mergeCell ref="A3:F3"/>
    <mergeCell ref="A4:F4"/>
    <mergeCell ref="A101:F101"/>
    <mergeCell ref="A136:F136"/>
    <mergeCell ref="A9:F9"/>
    <mergeCell ref="A43:F43"/>
    <mergeCell ref="A44:B44"/>
    <mergeCell ref="A5:B5"/>
    <mergeCell ref="A6:B6"/>
    <mergeCell ref="A7:B7"/>
    <mergeCell ref="A12:F12"/>
    <mergeCell ref="A16:F16"/>
    <mergeCell ref="A144:D144"/>
    <mergeCell ref="A145:D145"/>
    <mergeCell ref="A146:D146"/>
    <mergeCell ref="A147:D147"/>
    <mergeCell ref="A148:D148"/>
    <mergeCell ref="A36:E36"/>
    <mergeCell ref="A27:F27"/>
    <mergeCell ref="A25:D26"/>
    <mergeCell ref="A32:E32"/>
    <mergeCell ref="A33:E33"/>
    <mergeCell ref="A71:C71"/>
    <mergeCell ref="A73:C73"/>
    <mergeCell ref="A28:E28"/>
    <mergeCell ref="A53:B53"/>
    <mergeCell ref="A55:F55"/>
    <mergeCell ref="A49:B49"/>
    <mergeCell ref="A50:B50"/>
    <mergeCell ref="A52:B52"/>
    <mergeCell ref="A51:F51"/>
    <mergeCell ref="A48:B48"/>
    <mergeCell ref="A45:B45"/>
    <mergeCell ref="A46:B46"/>
    <mergeCell ref="A47:B47"/>
    <mergeCell ref="A130:D130"/>
    <mergeCell ref="A140:D140"/>
    <mergeCell ref="A86:F86"/>
    <mergeCell ref="A87:C87"/>
    <mergeCell ref="A56:E56"/>
    <mergeCell ref="A57:E57"/>
    <mergeCell ref="A58:E58"/>
    <mergeCell ref="A77:C77"/>
    <mergeCell ref="A67:F67"/>
    <mergeCell ref="A59:E59"/>
    <mergeCell ref="A64:C64"/>
    <mergeCell ref="A65:C65"/>
    <mergeCell ref="A72:C72"/>
    <mergeCell ref="A60:F60"/>
    <mergeCell ref="A61:C61"/>
    <mergeCell ref="A62:C62"/>
    <mergeCell ref="A63:F63"/>
    <mergeCell ref="A78:C78"/>
    <mergeCell ref="A74:C74"/>
    <mergeCell ref="A75:C75"/>
    <mergeCell ref="A76:C76"/>
    <mergeCell ref="A68:C68"/>
    <mergeCell ref="A69:C69"/>
    <mergeCell ref="A70:C70"/>
    <mergeCell ref="A79:C79"/>
    <mergeCell ref="A80:C80"/>
    <mergeCell ref="A141:F141"/>
    <mergeCell ref="A142:D142"/>
    <mergeCell ref="A143:D143"/>
    <mergeCell ref="A126:D126"/>
    <mergeCell ref="A127:F127"/>
    <mergeCell ref="A128:D128"/>
    <mergeCell ref="A129:D129"/>
    <mergeCell ref="A137:F137"/>
    <mergeCell ref="A102:F102"/>
    <mergeCell ref="A103:D103"/>
    <mergeCell ref="A104:D104"/>
    <mergeCell ref="A114:F114"/>
    <mergeCell ref="A115:D115"/>
    <mergeCell ref="A122:D122"/>
    <mergeCell ref="A123:D123"/>
    <mergeCell ref="A116:D116"/>
    <mergeCell ref="A118:D118"/>
    <mergeCell ref="A119:D119"/>
    <mergeCell ref="A120:D120"/>
    <mergeCell ref="A121:D121"/>
    <mergeCell ref="A138:D138"/>
    <mergeCell ref="A139:D139"/>
    <mergeCell ref="A124:D124"/>
    <mergeCell ref="A149:D149"/>
    <mergeCell ref="A1:F1"/>
    <mergeCell ref="A117:D117"/>
    <mergeCell ref="A105:D105"/>
    <mergeCell ref="A106:D106"/>
    <mergeCell ref="A107:D107"/>
    <mergeCell ref="A108:D108"/>
    <mergeCell ref="A109:D109"/>
    <mergeCell ref="A110:D110"/>
    <mergeCell ref="A112:D112"/>
    <mergeCell ref="A113:D113"/>
    <mergeCell ref="A97:C97"/>
    <mergeCell ref="A98:C98"/>
    <mergeCell ref="A99:C99"/>
    <mergeCell ref="A91:C91"/>
    <mergeCell ref="A92:C92"/>
    <mergeCell ref="A93:C93"/>
    <mergeCell ref="A94:C94"/>
    <mergeCell ref="A95:C95"/>
    <mergeCell ref="A96:C96"/>
    <mergeCell ref="A88:C88"/>
    <mergeCell ref="A89:C89"/>
    <mergeCell ref="A90:C90"/>
  </mergeCells>
  <hyperlinks>
    <hyperlink ref="A56:C56" r:id="rId1" display="Предназначается для закрепления поверхности перед покраской, уменьшения расхода краски и увеличения сцепляемости краски с поверхностью (шифер, асбоцемент, каменная кладка, штукатурка бетон, гипсокортон и т.д.). Подходит для наружных и внутренних работ. "/>
  </hyperlinks>
  <printOptions horizontalCentered="1"/>
  <pageMargins left="0.25" right="0.25" top="0.75" bottom="0.75" header="0.3" footer="0.3"/>
  <pageSetup paperSize="9" scale="93" orientation="portrait" r:id="rId2"/>
  <ignoredErrors>
    <ignoredError sqref="E117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H6" sqref="H6"/>
    </sheetView>
  </sheetViews>
  <sheetFormatPr defaultRowHeight="15" x14ac:dyDescent="0.25"/>
  <cols>
    <col min="4" max="4" width="33.28515625" customWidth="1"/>
  </cols>
  <sheetData>
    <row r="1" spans="1:5" ht="46.5" customHeight="1" thickBot="1" x14ac:dyDescent="0.3">
      <c r="A1" s="184" t="s">
        <v>116</v>
      </c>
      <c r="B1" s="185"/>
      <c r="C1" s="185"/>
      <c r="D1" s="186"/>
      <c r="E1" s="43">
        <v>-5</v>
      </c>
    </row>
    <row r="2" spans="1:5" ht="39" customHeight="1" thickBot="1" x14ac:dyDescent="0.3">
      <c r="A2" s="190" t="s">
        <v>75</v>
      </c>
      <c r="B2" s="191"/>
      <c r="C2" s="191"/>
      <c r="D2" s="192"/>
      <c r="E2" s="43">
        <v>-5</v>
      </c>
    </row>
    <row r="3" spans="1:5" ht="45" customHeight="1" thickBot="1" x14ac:dyDescent="0.3">
      <c r="A3" s="187" t="s">
        <v>76</v>
      </c>
      <c r="B3" s="188"/>
      <c r="C3" s="188"/>
      <c r="D3" s="189"/>
      <c r="E3" s="43">
        <v>-5</v>
      </c>
    </row>
    <row r="4" spans="1:5" ht="36.75" customHeight="1" thickBot="1" x14ac:dyDescent="0.3">
      <c r="A4" s="187" t="s">
        <v>77</v>
      </c>
      <c r="B4" s="188"/>
      <c r="C4" s="188"/>
      <c r="D4" s="189"/>
      <c r="E4" s="43">
        <v>-5</v>
      </c>
    </row>
    <row r="5" spans="1:5" ht="24.75" customHeight="1" thickBot="1" x14ac:dyDescent="0.3">
      <c r="A5" s="187" t="s">
        <v>106</v>
      </c>
      <c r="B5" s="188"/>
      <c r="C5" s="188"/>
      <c r="D5" s="189"/>
      <c r="E5" s="43">
        <v>-28</v>
      </c>
    </row>
    <row r="6" spans="1:5" s="2" customFormat="1" ht="27.75" customHeight="1" thickBot="1" x14ac:dyDescent="0.3">
      <c r="A6" s="181" t="s">
        <v>115</v>
      </c>
      <c r="B6" s="182"/>
      <c r="C6" s="182"/>
      <c r="D6" s="183"/>
      <c r="E6" s="43">
        <v>-35</v>
      </c>
    </row>
    <row r="7" spans="1:5" ht="15.75" x14ac:dyDescent="0.25">
      <c r="D7" s="50" t="s">
        <v>109</v>
      </c>
    </row>
  </sheetData>
  <mergeCells count="6">
    <mergeCell ref="A6:D6"/>
    <mergeCell ref="A1:D1"/>
    <mergeCell ref="A4:D4"/>
    <mergeCell ref="A3:D3"/>
    <mergeCell ref="A2:D2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Размер скидок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lenovo100</cp:lastModifiedBy>
  <cp:lastPrinted>2018-09-24T07:55:48Z</cp:lastPrinted>
  <dcterms:created xsi:type="dcterms:W3CDTF">2016-11-09T11:35:11Z</dcterms:created>
  <dcterms:modified xsi:type="dcterms:W3CDTF">2018-09-24T07:56:08Z</dcterms:modified>
</cp:coreProperties>
</file>