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Пр-во" sheetId="1" r:id="rId1"/>
    <sheet name="Кулер" sheetId="2" r:id="rId2"/>
    <sheet name="Мусорные мешки" sheetId="3" r:id="rId3"/>
  </sheets>
  <definedNames>
    <definedName name="_xlnm.Print_Area" localSheetId="2">'Мусорные мешки'!$A$1:$G$27</definedName>
    <definedName name="_xlnm.Print_Area" localSheetId="0">'Пр-во'!$A$1:$H$85</definedName>
  </definedNames>
  <calcPr calcId="125725"/>
</workbook>
</file>

<file path=xl/calcChain.xml><?xml version="1.0" encoding="utf-8"?>
<calcChain xmlns="http://schemas.openxmlformats.org/spreadsheetml/2006/main">
  <c r="J27" i="3"/>
  <c r="J26"/>
  <c r="J25"/>
  <c r="J23"/>
  <c r="J22"/>
  <c r="J21"/>
  <c r="J19"/>
  <c r="J18"/>
  <c r="J17"/>
  <c r="J16"/>
  <c r="J15"/>
  <c r="J14"/>
  <c r="J13"/>
  <c r="M84" i="1"/>
  <c r="L84"/>
  <c r="K84"/>
  <c r="M83"/>
  <c r="L83"/>
  <c r="K83"/>
  <c r="M81"/>
  <c r="L81"/>
  <c r="K81"/>
  <c r="M80"/>
  <c r="L80"/>
  <c r="K80"/>
  <c r="M79"/>
  <c r="L79"/>
  <c r="K79"/>
  <c r="M78"/>
  <c r="L78"/>
  <c r="K78"/>
  <c r="M77"/>
  <c r="L77"/>
  <c r="K77"/>
  <c r="M76"/>
  <c r="L76"/>
  <c r="K76"/>
  <c r="M75"/>
  <c r="L75"/>
  <c r="K75"/>
  <c r="M74"/>
  <c r="L74"/>
  <c r="K74"/>
  <c r="M73"/>
  <c r="L73"/>
  <c r="K73"/>
  <c r="M72"/>
  <c r="L72"/>
  <c r="K72"/>
  <c r="M71"/>
  <c r="L71"/>
  <c r="K71"/>
  <c r="M70"/>
  <c r="L70"/>
  <c r="K70"/>
  <c r="M69"/>
  <c r="L69"/>
  <c r="K69"/>
  <c r="M68"/>
  <c r="L68"/>
  <c r="K68"/>
  <c r="M67"/>
  <c r="L67"/>
  <c r="K67"/>
  <c r="M66"/>
  <c r="L66"/>
  <c r="K66"/>
  <c r="M65"/>
  <c r="L65"/>
  <c r="K65"/>
  <c r="M64"/>
  <c r="L64"/>
  <c r="K64"/>
  <c r="M63"/>
  <c r="L63"/>
  <c r="K63"/>
  <c r="M62"/>
  <c r="L62"/>
  <c r="K62"/>
  <c r="M61"/>
  <c r="L61"/>
  <c r="K61"/>
  <c r="M60"/>
  <c r="L60"/>
  <c r="K60"/>
  <c r="M59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46"/>
  <c r="L46"/>
  <c r="K46"/>
  <c r="M45"/>
  <c r="L45"/>
  <c r="K45"/>
  <c r="M43"/>
  <c r="L43"/>
  <c r="K43"/>
  <c r="M42"/>
  <c r="L42"/>
  <c r="K42"/>
  <c r="M41"/>
  <c r="L41"/>
  <c r="K41"/>
  <c r="M40"/>
  <c r="L40"/>
  <c r="K40"/>
  <c r="M39"/>
  <c r="L39"/>
  <c r="K39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5" s="1"/>
  <c r="A84" s="1"/>
  <c r="A83" s="1"/>
  <c r="M21"/>
  <c r="L21"/>
  <c r="K21"/>
  <c r="G82" i="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G73"/>
  <c r="J73" s="1"/>
  <c r="G72"/>
  <c r="J72" s="1"/>
  <c r="G71"/>
  <c r="J71" s="1"/>
  <c r="G70"/>
  <c r="J70" s="1"/>
  <c r="G69"/>
  <c r="J69" s="1"/>
  <c r="G68"/>
  <c r="J68" s="1"/>
  <c r="G67"/>
  <c r="J67" s="1"/>
  <c r="G66"/>
  <c r="J66" s="1"/>
  <c r="G65"/>
  <c r="J65" s="1"/>
  <c r="G64"/>
  <c r="J64" s="1"/>
  <c r="G63"/>
  <c r="J63" s="1"/>
  <c r="G62"/>
  <c r="J62" s="1"/>
  <c r="G61"/>
  <c r="J61" s="1"/>
  <c r="G60"/>
  <c r="J60" s="1"/>
  <c r="G59"/>
  <c r="J59" s="1"/>
  <c r="G58"/>
  <c r="J58" s="1"/>
  <c r="G57"/>
  <c r="J57" s="1"/>
  <c r="G56"/>
  <c r="J56" s="1"/>
  <c r="G55"/>
  <c r="J55" s="1"/>
  <c r="G54"/>
  <c r="J54" s="1"/>
  <c r="G53"/>
  <c r="J53" s="1"/>
  <c r="G52"/>
  <c r="J52" s="1"/>
  <c r="G51"/>
  <c r="J51" s="1"/>
  <c r="G50"/>
  <c r="J50" s="1"/>
  <c r="G49"/>
  <c r="J49" s="1"/>
  <c r="G48"/>
  <c r="J48" s="1"/>
  <c r="G47"/>
  <c r="J47" s="1"/>
  <c r="G46"/>
  <c r="J46" s="1"/>
  <c r="G45"/>
  <c r="J45" s="1"/>
  <c r="G44"/>
  <c r="J44" s="1"/>
  <c r="G43"/>
  <c r="J43" s="1"/>
  <c r="G42"/>
  <c r="J42" s="1"/>
  <c r="G41"/>
  <c r="J41" s="1"/>
  <c r="G40"/>
  <c r="J40" s="1"/>
  <c r="G39"/>
  <c r="J39" s="1"/>
  <c r="G38"/>
  <c r="J38" s="1"/>
  <c r="G37"/>
  <c r="J37" s="1"/>
  <c r="G36"/>
  <c r="J36" s="1"/>
  <c r="G35"/>
  <c r="J35" s="1"/>
  <c r="G34"/>
  <c r="J34" s="1"/>
  <c r="G33"/>
  <c r="J33" s="1"/>
  <c r="I31"/>
  <c r="G32" s="1"/>
  <c r="J32" s="1"/>
  <c r="J31" l="1"/>
  <c r="K85" i="1" s="1"/>
  <c r="K20" s="1"/>
  <c r="M14" s="1"/>
  <c r="J85"/>
  <c r="L85" s="1"/>
  <c r="L20"/>
  <c r="M85"/>
  <c r="M20" s="1"/>
</calcChain>
</file>

<file path=xl/sharedStrings.xml><?xml version="1.0" encoding="utf-8"?>
<sst xmlns="http://schemas.openxmlformats.org/spreadsheetml/2006/main" count="469" uniqueCount="359">
  <si>
    <t>р/с 40702810900010002534 Филиал «Центральный» Банка ВТБ (ПАО)  г. Москва,  БИК 044525411,</t>
  </si>
  <si>
    <t>Форма заказа</t>
  </si>
  <si>
    <t>ИНН 7733882148,  к/с 30101810145250000411,  КПП 773301001, ОГРН 1147746574920, ОКПО 31743657</t>
  </si>
  <si>
    <t>Вставьте Вашу скидку (число)</t>
  </si>
  <si>
    <t>СКИДКА%</t>
  </si>
  <si>
    <t>№</t>
  </si>
  <si>
    <t>Фото</t>
  </si>
  <si>
    <t>Артикул</t>
  </si>
  <si>
    <t>Наименование товаров</t>
  </si>
  <si>
    <t>Кол-во штук в упаковке</t>
  </si>
  <si>
    <t>Размеры изделия, мм</t>
  </si>
  <si>
    <t>Цена</t>
  </si>
  <si>
    <t>Сумма заказа</t>
  </si>
  <si>
    <t>Кухонные принадлежности</t>
  </si>
  <si>
    <t>SK001</t>
  </si>
  <si>
    <t>Банка для сыпучих продуктов 1,5л.(в ассорт. цв.гаммы)</t>
  </si>
  <si>
    <t>120х120х180</t>
  </si>
  <si>
    <t>SK002</t>
  </si>
  <si>
    <t>Доска разделочная "Яблоко" (в ассорт.цв.гаммы)</t>
  </si>
  <si>
    <t>SK006</t>
  </si>
  <si>
    <t>Доска разделочная "Большая с ручкой" 21*30см (в ассорт.цв.гаммы)</t>
  </si>
  <si>
    <t>410х215х6</t>
  </si>
  <si>
    <t>SK007</t>
  </si>
  <si>
    <t>Доска разделочная "Малая с ручкой" 19*24см (в ассорт.цв.гаммы)</t>
  </si>
  <si>
    <t>336х188х5</t>
  </si>
  <si>
    <t>SK042</t>
  </si>
  <si>
    <t>Доска разделочная "МУЛЬТИ" Прямоугольная (в ас.цв.гаммы)</t>
  </si>
  <si>
    <t>310х200х5</t>
  </si>
  <si>
    <t>SK017</t>
  </si>
  <si>
    <t>Контейнер для лимона</t>
  </si>
  <si>
    <t>120x86х83</t>
  </si>
  <si>
    <t>SK009</t>
  </si>
  <si>
    <t>Крышка для банки микс (набор 10шт.)</t>
  </si>
  <si>
    <t>132х100х40</t>
  </si>
  <si>
    <t>SK381</t>
  </si>
  <si>
    <t>Крышка для банки цветная</t>
  </si>
  <si>
    <t>80х12</t>
  </si>
  <si>
    <t>SK147</t>
  </si>
  <si>
    <t xml:space="preserve">Крышка для банки прозрачная (набор 10шт.)                                                  </t>
  </si>
  <si>
    <t>SK128</t>
  </si>
  <si>
    <t>Крышка для банки прозрачная</t>
  </si>
  <si>
    <t>SK012</t>
  </si>
  <si>
    <t>Крышка СВЧ</t>
  </si>
  <si>
    <t>227х97</t>
  </si>
  <si>
    <t>SK090</t>
  </si>
  <si>
    <t>76х82</t>
  </si>
  <si>
    <t>SK010</t>
  </si>
  <si>
    <t>Масленка №1 (овальная)</t>
  </si>
  <si>
    <t>180х120х30</t>
  </si>
  <si>
    <t>SK089</t>
  </si>
  <si>
    <t>165х100х65</t>
  </si>
  <si>
    <t>SK375</t>
  </si>
  <si>
    <t>185х130х50</t>
  </si>
  <si>
    <t>SK139</t>
  </si>
  <si>
    <t>345х5</t>
  </si>
  <si>
    <t>SK094</t>
  </si>
  <si>
    <t>189х5</t>
  </si>
  <si>
    <t>SK086</t>
  </si>
  <si>
    <t>Салфетница "Ракушка"</t>
  </si>
  <si>
    <t>130х96х25</t>
  </si>
  <si>
    <t>SK087</t>
  </si>
  <si>
    <t>Салфетница "Яблоко"</t>
  </si>
  <si>
    <t>115х82х26</t>
  </si>
  <si>
    <t>SK350</t>
  </si>
  <si>
    <t xml:space="preserve">Сырорезка (Нож для резки сыра) </t>
  </si>
  <si>
    <t>110х110х5</t>
  </si>
  <si>
    <t>SK095</t>
  </si>
  <si>
    <t>60х15</t>
  </si>
  <si>
    <t>SK233</t>
  </si>
  <si>
    <t>SK148</t>
  </si>
  <si>
    <t>320х200х125</t>
  </si>
  <si>
    <t>Изделия бытового назначения</t>
  </si>
  <si>
    <t>SK154</t>
  </si>
  <si>
    <t>Вешалка для верхней одежды  р.48-50 (черная)</t>
  </si>
  <si>
    <t>420х37х180</t>
  </si>
  <si>
    <t>SK344</t>
  </si>
  <si>
    <t>Вешалка для верхней одежды  р.48-50 (цветная)</t>
  </si>
  <si>
    <t>SK345</t>
  </si>
  <si>
    <t>Вешалка для верхней одежды      р.52-54  (черная)</t>
  </si>
  <si>
    <t>470х37х180</t>
  </si>
  <si>
    <t>SK114</t>
  </si>
  <si>
    <t>Вешалка для верхней одежды      р.52-54 (цветная)</t>
  </si>
  <si>
    <t>SK341</t>
  </si>
  <si>
    <t>420х36х155</t>
  </si>
  <si>
    <t>SK229</t>
  </si>
  <si>
    <t>SK342</t>
  </si>
  <si>
    <t>470х36х185</t>
  </si>
  <si>
    <t>SK230</t>
  </si>
  <si>
    <r>
      <t xml:space="preserve">Вешалка с поворачивающимся крючком  (низким) р.52-54 (цветная) </t>
    </r>
    <r>
      <rPr>
        <b/>
        <sz val="12"/>
        <color indexed="10"/>
        <rFont val="Times New Roman"/>
        <family val="1"/>
        <charset val="204"/>
      </rPr>
      <t xml:space="preserve"> </t>
    </r>
  </si>
  <si>
    <t>SK343</t>
  </si>
  <si>
    <t>420х50х220</t>
  </si>
  <si>
    <t>SK228</t>
  </si>
  <si>
    <t>SK346</t>
  </si>
  <si>
    <t>420х36х180</t>
  </si>
  <si>
    <t>SK260</t>
  </si>
  <si>
    <t>SK347</t>
  </si>
  <si>
    <t>470х36х160</t>
  </si>
  <si>
    <t>SK261</t>
  </si>
  <si>
    <t>SK348</t>
  </si>
  <si>
    <t>Вешалка тонкая  р.48-50 (черная)</t>
  </si>
  <si>
    <t>420х7х220</t>
  </si>
  <si>
    <t xml:space="preserve"> SK290</t>
  </si>
  <si>
    <t>Ведро "Классика 5л.</t>
  </si>
  <si>
    <t>200х220</t>
  </si>
  <si>
    <t>SK291</t>
  </si>
  <si>
    <t>Ведро "Классика 7л.</t>
  </si>
  <si>
    <t>230х245</t>
  </si>
  <si>
    <t>SK190</t>
  </si>
  <si>
    <t xml:space="preserve">Ведро 10л. б/крышки черное </t>
  </si>
  <si>
    <t>275х255</t>
  </si>
  <si>
    <t>SK292</t>
  </si>
  <si>
    <t>Ведро "Классика 10л.</t>
  </si>
  <si>
    <t>245х260</t>
  </si>
  <si>
    <t>SK293</t>
  </si>
  <si>
    <t>270х295</t>
  </si>
  <si>
    <t>SK024</t>
  </si>
  <si>
    <t>Ведро 15л. б/крышки  (в ассорт.цв.гаммы)</t>
  </si>
  <si>
    <t>310х285</t>
  </si>
  <si>
    <t>SK192</t>
  </si>
  <si>
    <t>SK115</t>
  </si>
  <si>
    <t>Ведро "Мульти" с отжимом 14 л.</t>
  </si>
  <si>
    <t>360х235х255</t>
  </si>
  <si>
    <t>SK127</t>
  </si>
  <si>
    <t>Ведро "Мульти" без отжима 14 л.</t>
  </si>
  <si>
    <t>360х235х250</t>
  </si>
  <si>
    <t>SK129</t>
  </si>
  <si>
    <t>Набор для уборки "Мульти" 14л.</t>
  </si>
  <si>
    <t>375х257х260</t>
  </si>
  <si>
    <t>SK145</t>
  </si>
  <si>
    <t xml:space="preserve">Мыльница на присосках "Лилия" большая                            </t>
  </si>
  <si>
    <t>311х95х90</t>
  </si>
  <si>
    <t>SK146</t>
  </si>
  <si>
    <t xml:space="preserve">Мыльница на присосках "Лилия" малая                            </t>
  </si>
  <si>
    <t>150х95х60</t>
  </si>
  <si>
    <t>SK138</t>
  </si>
  <si>
    <t>145х115х70</t>
  </si>
  <si>
    <t>SK133</t>
  </si>
  <si>
    <t xml:space="preserve">Полка 2-х ярусная угловая </t>
  </si>
  <si>
    <t>290х190х242</t>
  </si>
  <si>
    <t>SK134</t>
  </si>
  <si>
    <t xml:space="preserve">Полка 3-х ярусная угловая </t>
  </si>
  <si>
    <t>290х190х453</t>
  </si>
  <si>
    <t>SK135</t>
  </si>
  <si>
    <t xml:space="preserve">Полка 4-х ярусная угловая </t>
  </si>
  <si>
    <t>290х190х664</t>
  </si>
  <si>
    <t>SK193</t>
  </si>
  <si>
    <t>Пылевыбивалка черная</t>
  </si>
  <si>
    <t>540х205х31</t>
  </si>
  <si>
    <t>SK066</t>
  </si>
  <si>
    <t>SK371</t>
  </si>
  <si>
    <t>Совок для уборки</t>
  </si>
  <si>
    <t>303х220х80</t>
  </si>
  <si>
    <t>SK295</t>
  </si>
  <si>
    <t>Таз круглый "Мульти" 10л.</t>
  </si>
  <si>
    <t>360х120</t>
  </si>
  <si>
    <t>SK296</t>
  </si>
  <si>
    <t>Таз круглый "Мульти" 12л.</t>
  </si>
  <si>
    <t>390х135</t>
  </si>
  <si>
    <t>SK297</t>
  </si>
  <si>
    <t>Таз круглый "Мульти" 16л</t>
  </si>
  <si>
    <t>430х140</t>
  </si>
  <si>
    <t>Изделия для детей</t>
  </si>
  <si>
    <t>SK406</t>
  </si>
  <si>
    <t>Кулер детский</t>
  </si>
  <si>
    <t>150х150х490</t>
  </si>
  <si>
    <t>ПРАЙС-ЛИСТ НА ДЕТСКИЕ КУЛЕРЫ (НДС 10%)</t>
  </si>
  <si>
    <t>Кол-во упаковок</t>
  </si>
  <si>
    <t>Кол-во штук</t>
  </si>
  <si>
    <t>Цена за 1шт. (в руб.)</t>
  </si>
  <si>
    <t>Кулеры 1-5 уп.</t>
  </si>
  <si>
    <t>6-30</t>
  </si>
  <si>
    <t>Кулеры 6-9 уп.</t>
  </si>
  <si>
    <t>36-54</t>
  </si>
  <si>
    <t xml:space="preserve">Кулеры от 10 уп. </t>
  </si>
  <si>
    <t xml:space="preserve">от 60 шт. </t>
  </si>
  <si>
    <t xml:space="preserve">Кулеры от 40 уп. </t>
  </si>
  <si>
    <t xml:space="preserve">от 240 шт. </t>
  </si>
  <si>
    <t>1. Минимальная сумма заказа - 3780руб. (6шт. - 1уп.)</t>
  </si>
  <si>
    <t>2. В упаковку можно заказать любые виды и цвета.</t>
  </si>
  <si>
    <t>3. Возможность поставки заказа по месту назначения.</t>
  </si>
  <si>
    <t>Форма заказа на кулер детский.</t>
  </si>
  <si>
    <t>Заказчик</t>
  </si>
  <si>
    <t>Город</t>
  </si>
  <si>
    <t>Адрес</t>
  </si>
  <si>
    <t>Телефон</t>
  </si>
  <si>
    <t>e-mail</t>
  </si>
  <si>
    <t>ИНН</t>
  </si>
  <si>
    <t>Паспортные данные</t>
  </si>
  <si>
    <t>Вставьте свою персональную скидку и узнайте конечную цену</t>
  </si>
  <si>
    <t>Скидка, %</t>
  </si>
  <si>
    <t>*РРЦ-минимальная розничная цена</t>
  </si>
  <si>
    <t xml:space="preserve">Фото </t>
  </si>
  <si>
    <t>Код</t>
  </si>
  <si>
    <t>Номенклатура</t>
  </si>
  <si>
    <t>РРЦ*</t>
  </si>
  <si>
    <t>Базовая цена, руб.</t>
  </si>
  <si>
    <t>Ваша цена со скидкой, руб.</t>
  </si>
  <si>
    <t>шт. в уп.</t>
  </si>
  <si>
    <t>Ваш заказ, шт.</t>
  </si>
  <si>
    <t>Сумма Вашего заказа, руб.</t>
  </si>
  <si>
    <t>sk406</t>
  </si>
  <si>
    <t>Детский кулер Китти (Белый с бирюзовым)</t>
  </si>
  <si>
    <t>Детский кулер Китти (Белый с розовым)</t>
  </si>
  <si>
    <t>Детский кулер Китти (Белый с красным)</t>
  </si>
  <si>
    <t>Детский кулер Китти (Белый с жёлтым)</t>
  </si>
  <si>
    <t>Детский кулер Китти (Белый с салатовым)</t>
  </si>
  <si>
    <t>Детский кулер Китти (Белый с синим)</t>
  </si>
  <si>
    <t>Детский кулер Китти (Белый с фиолетовым)</t>
  </si>
  <si>
    <t>Детский кулер Китти (Розовый с бирюзовым)</t>
  </si>
  <si>
    <t>Детский кулер Китти (Розовый с жёлтым)</t>
  </si>
  <si>
    <t>Детский кулер Китти (Розовый с салатовым)</t>
  </si>
  <si>
    <t>Детский кулер Китти (Розовый с синим)</t>
  </si>
  <si>
    <t>Детский кулер Китти (Жёлтый с розовым)</t>
  </si>
  <si>
    <t>Детский кулер Китти (Жёлтый с красным)</t>
  </si>
  <si>
    <t>Детский кулер Китти (Жёлтый с салатовым)</t>
  </si>
  <si>
    <t>Детский кулер Китти (Жёлтый с синим)</t>
  </si>
  <si>
    <t>Детский кулер Китти (Жёлтый с фиолетовым)</t>
  </si>
  <si>
    <t>Детский кулер Китти (Голубой с красным)</t>
  </si>
  <si>
    <t>Детский кулер Китти (Голубой с салатовым)</t>
  </si>
  <si>
    <t>Детский кулер Китти (Салатовый с розовым)</t>
  </si>
  <si>
    <t>Детский кулер Китти (Салатовый с красным)</t>
  </si>
  <si>
    <t>Детский кулер Китти (Салатовый с жёлтым)</t>
  </si>
  <si>
    <t>Детский кулер Китти (Салатовый с синим)</t>
  </si>
  <si>
    <t>Детский кулер Китти (Оранжевый с жёлтым)</t>
  </si>
  <si>
    <t>Детский кулер Китти (Оранжевый с салатовым)_</t>
  </si>
  <si>
    <t>Детский кулер Китти (Оранжевый с синим)</t>
  </si>
  <si>
    <t>Детский кулер Китти (Красный с бирюзовым)</t>
  </si>
  <si>
    <t>Детский кулер Китти (Красный с жёлтым)</t>
  </si>
  <si>
    <t>Детский кулер Китти (Красный с салатовым)</t>
  </si>
  <si>
    <t>Детский кулер Китти (Красный с синим)</t>
  </si>
  <si>
    <t>sk407</t>
  </si>
  <si>
    <t>Детский кулер Микки (Белый с розовым)</t>
  </si>
  <si>
    <t>Детский кулер Микки (Белый с красным)</t>
  </si>
  <si>
    <t>Детский кулер Микки (Белый с жёлтым)</t>
  </si>
  <si>
    <t>Детский кулер Микки (Белый с салатовым)</t>
  </si>
  <si>
    <t>Детский кулер Микки (Белый с синим)</t>
  </si>
  <si>
    <t>Детский кулер Микки (Белый с фиолетовым)</t>
  </si>
  <si>
    <t>Детский кулер Микки (Розовый с бирюзовым)</t>
  </si>
  <si>
    <t>Детский кулер Микки (Розовый с жёлтым)</t>
  </si>
  <si>
    <t>Детский кулер Микки (Розовый с салатовым)</t>
  </si>
  <si>
    <t>Детский кулер Микки (Розовый с синим)</t>
  </si>
  <si>
    <t>Детский кулер Микки (Жёлтый с розовым)</t>
  </si>
  <si>
    <t>Детский кулер Микки (Жёлтый с красным)</t>
  </si>
  <si>
    <t>Детский кулер Микки (Жёлтый салатовый)</t>
  </si>
  <si>
    <t>Детский кулер Микки (Жёлтый с фиолетовым)</t>
  </si>
  <si>
    <t>Детский кулер Микки (Голубой с красным)</t>
  </si>
  <si>
    <t>Детский кулер Микки (Голубой с жёлтым)</t>
  </si>
  <si>
    <t>Детский кулер Микки (Голубой с салатовым)</t>
  </si>
  <si>
    <t>Детский кулер Микки (Оранжевый с жёлтым)</t>
  </si>
  <si>
    <t>Детский кулер Микки (Оранжевый с салатовым)</t>
  </si>
  <si>
    <t>Детский кулер Микки (Оранжевый с синим)</t>
  </si>
  <si>
    <t>Детский кулер Микки (Красный с жёлтым)</t>
  </si>
  <si>
    <t>Детский кулер Микки (Красный с салатовым)</t>
  </si>
  <si>
    <t>Скидки:</t>
  </si>
  <si>
    <t xml:space="preserve"> - 7%</t>
  </si>
  <si>
    <t xml:space="preserve"> - 10%</t>
  </si>
  <si>
    <t xml:space="preserve"> - 20%</t>
  </si>
  <si>
    <t xml:space="preserve"> - 25 %</t>
  </si>
  <si>
    <t xml:space="preserve"> - договорные</t>
  </si>
  <si>
    <t>Размер упаковки (мм)</t>
  </si>
  <si>
    <t>Кол-во</t>
  </si>
  <si>
    <r>
      <t>V (м3)</t>
    </r>
    <r>
      <rPr>
        <b/>
        <sz val="8"/>
        <color indexed="8"/>
        <rFont val="Arial Black"/>
        <family val="2"/>
        <charset val="204"/>
      </rPr>
      <t xml:space="preserve"> (кратно упаковки)</t>
    </r>
  </si>
  <si>
    <t>Масса (кг)</t>
  </si>
  <si>
    <t>480х440х360</t>
  </si>
  <si>
    <t>430х230х215</t>
  </si>
  <si>
    <t>410х215х320</t>
  </si>
  <si>
    <t>340х190х250</t>
  </si>
  <si>
    <t>310х200х290</t>
  </si>
  <si>
    <t>358х278х178</t>
  </si>
  <si>
    <t>400х400х340</t>
  </si>
  <si>
    <t>240х240х400</t>
  </si>
  <si>
    <t>225х180х130</t>
  </si>
  <si>
    <t>550х430х320</t>
  </si>
  <si>
    <t>480х200х530</t>
  </si>
  <si>
    <t>235х235х60</t>
  </si>
  <si>
    <t>250х25х610</t>
  </si>
  <si>
    <t>280х280х530</t>
  </si>
  <si>
    <t>320х290х500</t>
  </si>
  <si>
    <t>320х290х520</t>
  </si>
  <si>
    <t>330х330х530</t>
  </si>
  <si>
    <t>510х370х485</t>
  </si>
  <si>
    <t>1130х335х380</t>
  </si>
  <si>
    <t>380х350х220</t>
  </si>
  <si>
    <t>430х400х240</t>
  </si>
  <si>
    <t>460х430х270</t>
  </si>
  <si>
    <t>SK403</t>
  </si>
  <si>
    <t>Стакан для кулера 0,240л. ( в ассорт.цв. гаммы)</t>
  </si>
  <si>
    <t>инд. упаковка, пакет</t>
  </si>
  <si>
    <t>50х60х85</t>
  </si>
  <si>
    <t>SK402</t>
  </si>
  <si>
    <t>Бутыль  для кулера 2,0л.</t>
  </si>
  <si>
    <t>135х135х23</t>
  </si>
  <si>
    <t>520х350х510</t>
  </si>
  <si>
    <r>
      <t xml:space="preserve">1-5 уп. - </t>
    </r>
    <r>
      <rPr>
        <b/>
        <i/>
        <sz val="11"/>
        <color rgb="FF660033"/>
        <rFont val="Arial Black"/>
        <family val="2"/>
        <charset val="204"/>
      </rPr>
      <t>630р./шт.</t>
    </r>
    <r>
      <rPr>
        <b/>
        <sz val="11"/>
        <color rgb="FF660033"/>
        <rFont val="Arial Black"/>
        <family val="2"/>
        <charset val="204"/>
      </rPr>
      <t xml:space="preserve">
6-9 уп. - </t>
    </r>
    <r>
      <rPr>
        <b/>
        <i/>
        <sz val="11"/>
        <color rgb="FF660033"/>
        <rFont val="Arial Black"/>
        <family val="2"/>
        <charset val="204"/>
      </rPr>
      <t>600р./шт.</t>
    </r>
    <r>
      <rPr>
        <b/>
        <sz val="11"/>
        <color rgb="FF660033"/>
        <rFont val="Arial Black"/>
        <family val="2"/>
        <charset val="204"/>
      </rPr>
      <t xml:space="preserve">
10-15уп. - </t>
    </r>
    <r>
      <rPr>
        <b/>
        <i/>
        <sz val="11"/>
        <color rgb="FF660033"/>
        <rFont val="Arial Black"/>
        <family val="2"/>
        <charset val="204"/>
      </rPr>
      <t>580р./шт.</t>
    </r>
    <r>
      <rPr>
        <b/>
        <sz val="11"/>
        <color rgb="FF660033"/>
        <rFont val="Arial Black"/>
        <family val="2"/>
        <charset val="204"/>
      </rPr>
      <t xml:space="preserve">
</t>
    </r>
    <r>
      <rPr>
        <b/>
        <i/>
        <u/>
        <sz val="11"/>
        <color rgb="FF660033"/>
        <rFont val="Arial Black"/>
        <family val="2"/>
        <charset val="204"/>
      </rPr>
      <t>Бланк заказа, см. на сл. листе.</t>
    </r>
    <r>
      <rPr>
        <b/>
        <sz val="11"/>
        <color rgb="FF660033"/>
        <rFont val="Arial Black"/>
        <family val="2"/>
        <charset val="204"/>
      </rPr>
      <t xml:space="preserve">
</t>
    </r>
  </si>
  <si>
    <r>
      <t>Фактический адрес:</t>
    </r>
    <r>
      <rPr>
        <sz val="10"/>
        <color theme="1"/>
        <rFont val="Arial Black"/>
        <family val="2"/>
        <charset val="204"/>
      </rPr>
      <t xml:space="preserve"> </t>
    </r>
    <r>
      <rPr>
        <b/>
        <sz val="10"/>
        <color theme="1"/>
        <rFont val="Arial Narrow"/>
        <family val="2"/>
        <charset val="204"/>
      </rPr>
      <t>152025, Ярославская область, г. Переславль-Залесский, ул. Свободы, д. 122</t>
    </r>
  </si>
  <si>
    <r>
      <t xml:space="preserve">                                                           Юридический адрес: </t>
    </r>
    <r>
      <rPr>
        <b/>
        <sz val="10"/>
        <color theme="1"/>
        <rFont val="Arial Narrow"/>
        <family val="2"/>
        <charset val="204"/>
      </rPr>
      <t>125363, г. Москва, ул. Сходненская, д.33, корп. 1</t>
    </r>
  </si>
  <si>
    <r>
      <t>Фактический адрес:</t>
    </r>
    <r>
      <rPr>
        <sz val="11"/>
        <color theme="1"/>
        <rFont val="Arial Black"/>
        <family val="2"/>
        <charset val="204"/>
      </rPr>
      <t xml:space="preserve"> </t>
    </r>
    <r>
      <rPr>
        <b/>
        <sz val="11"/>
        <color theme="1"/>
        <rFont val="Arial Narrow"/>
        <family val="2"/>
        <charset val="204"/>
      </rPr>
      <t>152025, Ярославская область, г. Переславль-Залесский, ул. Свободы, д. 122</t>
    </r>
  </si>
  <si>
    <t>Вставьте вашу скидку (%)</t>
  </si>
  <si>
    <t>Скидки по каждому заказу обсуждаются   индивидуально. Максимальная скидка 15%</t>
  </si>
  <si>
    <t>Наименование</t>
  </si>
  <si>
    <t>Размер мешка (мм)</t>
  </si>
  <si>
    <t>Толщина (мкм)</t>
  </si>
  <si>
    <t>Намотка в ролик</t>
  </si>
  <si>
    <t>Вес ролика (гр)</t>
  </si>
  <si>
    <t>Цена за ролик с НДС (руб)</t>
  </si>
  <si>
    <t>Кол-во роликов</t>
  </si>
  <si>
    <t>Мешки для мусора из первичного ПНД</t>
  </si>
  <si>
    <t>30л/30шт черный</t>
  </si>
  <si>
    <t>470х595</t>
  </si>
  <si>
    <t>60л/20шт черный</t>
  </si>
  <si>
    <t>565х620</t>
  </si>
  <si>
    <t>60л/30шт черный</t>
  </si>
  <si>
    <t>600х670</t>
  </si>
  <si>
    <t>30л/20шт серый</t>
  </si>
  <si>
    <t>470х565</t>
  </si>
  <si>
    <t>120л/10шт сложение "звезда"</t>
  </si>
  <si>
    <t>650х1050</t>
  </si>
  <si>
    <t>120л/10шт сложение "С", прямой донный шов</t>
  </si>
  <si>
    <t>Мешки для мусора из первичного ПНД с завязками</t>
  </si>
  <si>
    <t>35л/15шт синий</t>
  </si>
  <si>
    <t>480х590</t>
  </si>
  <si>
    <t>30л/20шт оранжевый</t>
  </si>
  <si>
    <t>490х560</t>
  </si>
  <si>
    <t>поштучно в нахлест</t>
  </si>
  <si>
    <t>35л/20шт синий</t>
  </si>
  <si>
    <t>480х570</t>
  </si>
  <si>
    <t>Мешки для мусора из вторичного ПВД</t>
  </si>
  <si>
    <t>500х600</t>
  </si>
  <si>
    <t>500х700</t>
  </si>
  <si>
    <t>120л/10шт черный</t>
  </si>
  <si>
    <t>700х1110</t>
  </si>
  <si>
    <r>
      <t xml:space="preserve">         Юридический адрес: </t>
    </r>
    <r>
      <rPr>
        <b/>
        <sz val="11"/>
        <color theme="1"/>
        <rFont val="Arial Narrow"/>
        <family val="2"/>
        <charset val="204"/>
      </rPr>
      <t>125363, г. Москва, ул. Сходненская, д.33, корп. 1</t>
    </r>
  </si>
  <si>
    <t>Общая сумма заказа</t>
  </si>
  <si>
    <r>
      <t>Ведро "Классика 12л.</t>
    </r>
    <r>
      <rPr>
        <b/>
        <i/>
        <sz val="12"/>
        <rFont val="Arial Black"/>
        <family val="2"/>
        <charset val="204"/>
      </rPr>
      <t xml:space="preserve"> </t>
    </r>
    <r>
      <rPr>
        <b/>
        <i/>
        <sz val="12"/>
        <color rgb="FFC00000"/>
        <rFont val="Arial Black"/>
        <family val="2"/>
        <charset val="204"/>
      </rPr>
      <t>(ОСТАТОК)</t>
    </r>
  </si>
  <si>
    <r>
      <t>Ведро 15 л. б/крышки черное</t>
    </r>
    <r>
      <rPr>
        <b/>
        <i/>
        <sz val="12"/>
        <color rgb="FFC00000"/>
        <rFont val="Arial Black"/>
        <family val="2"/>
        <charset val="204"/>
      </rPr>
      <t xml:space="preserve"> (ОСТАТОК)</t>
    </r>
  </si>
  <si>
    <r>
      <t xml:space="preserve">Вешалка с поворачивающимся крючком  (низким) р.48-50 (черная) </t>
    </r>
    <r>
      <rPr>
        <b/>
        <i/>
        <sz val="12"/>
        <color rgb="FFC00000"/>
        <rFont val="Arial Black"/>
        <family val="2"/>
        <charset val="204"/>
      </rPr>
      <t>(ОСТАТОК)</t>
    </r>
    <r>
      <rPr>
        <b/>
        <sz val="12"/>
        <rFont val="Times New Roman"/>
        <family val="1"/>
        <charset val="204"/>
      </rPr>
      <t xml:space="preserve">  </t>
    </r>
  </si>
  <si>
    <r>
      <t>Вешалка с поворачивающимся крючком  (низким) р.48-50 (цветная)</t>
    </r>
    <r>
      <rPr>
        <b/>
        <i/>
        <sz val="12"/>
        <color rgb="FFC00000"/>
        <rFont val="Arial Black"/>
        <family val="2"/>
        <charset val="204"/>
      </rPr>
      <t xml:space="preserve">  (ОСТАТОК) </t>
    </r>
  </si>
  <si>
    <r>
      <t xml:space="preserve">Вешалка с поворачивающимся крючком  (низким) р.52-54 (черная) 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</si>
  <si>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 xml:space="preserve">Вешалка с подплечиками    р.48-50 (черная) </t>
    </r>
    <r>
      <rPr>
        <b/>
        <i/>
        <sz val="12"/>
        <color rgb="FFC00000"/>
        <rFont val="Arial Black"/>
        <family val="2"/>
        <charset val="204"/>
      </rPr>
      <t xml:space="preserve">(ОСТАТОК) </t>
    </r>
  </si>
  <si>
    <r>
      <t>Вешалка с подплечиками    р.48-50 (цветная)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</si>
  <si>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 xml:space="preserve">Вешалка с поворачивающимся крючком  (высоким)   р.48-50 (черная) 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</si>
  <si>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Вешалка с поворачивающимся крючком  (высоким)   р.48-50 (цветная)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</si>
  <si>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Вешалка с поворачивающимся крючком  (высоким)   р.52-54 (черная)</t>
    </r>
    <r>
      <rPr>
        <b/>
        <i/>
        <sz val="12"/>
        <color rgb="FFC00000"/>
        <rFont val="Arial Black"/>
        <family val="2"/>
        <charset val="204"/>
      </rPr>
      <t xml:space="preserve">  (ОСТАТОК) </t>
    </r>
  </si>
  <si>
    <r>
      <t xml:space="preserve">Вешалка с поворачивающимся крючком  (высоким)   р.52-54 (цветная) 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</si>
  <si>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Кружка квадратная 0,2л (термо)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</si>
  <si>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Масленка "Люкс"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</si>
  <si>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Масленка №2 (прямоугольная)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</si>
  <si>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Мыльница настенная (на шурупах)</t>
    </r>
    <r>
      <rPr>
        <i/>
        <sz val="12"/>
        <rFont val="Arial Black"/>
        <family val="2"/>
        <charset val="204"/>
      </rPr>
      <t xml:space="preserve"> </t>
    </r>
    <r>
      <rPr>
        <i/>
        <sz val="12"/>
        <color rgb="FFC00000"/>
        <rFont val="Arial Black"/>
        <family val="2"/>
        <charset val="204"/>
      </rPr>
      <t xml:space="preserve">(ОСТАТОК)               </t>
    </r>
    <r>
      <rPr>
        <i/>
        <sz val="12"/>
        <rFont val="Arial Black"/>
        <family val="2"/>
        <charset val="204"/>
      </rPr>
      <t xml:space="preserve">                                   </t>
    </r>
  </si>
  <si>
    <r>
      <t>Поднос круглый</t>
    </r>
    <r>
      <rPr>
        <b/>
        <i/>
        <sz val="12"/>
        <color rgb="FFC00000"/>
        <rFont val="Arial Black"/>
        <family val="2"/>
        <charset val="204"/>
      </rPr>
      <t xml:space="preserve"> (ОСТАТОК)                                    </t>
    </r>
    <r>
      <rPr>
        <b/>
        <sz val="12"/>
        <rFont val="Times New Roman"/>
        <family val="1"/>
        <charset val="204"/>
      </rPr>
      <t xml:space="preserve">              </t>
    </r>
  </si>
  <si>
    <r>
      <t>Подставка по горячее круглая D- 20 см. микс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</si>
  <si>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Пылевыбивалка( в ассорт.цв.гаммы)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</si>
  <si>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Ситечко в раковину</t>
    </r>
    <r>
      <rPr>
        <b/>
        <i/>
        <sz val="12"/>
        <color rgb="FFC00000"/>
        <rFont val="Arial Black"/>
        <family val="2"/>
        <charset val="204"/>
      </rPr>
      <t xml:space="preserve"> (ОСТАТОК) </t>
    </r>
  </si>
  <si>
    <r>
      <t>Ситечко в раковину 2шт. (в пакете)</t>
    </r>
    <r>
      <rPr>
        <b/>
        <i/>
        <sz val="12"/>
        <color rgb="FFC00000"/>
        <rFont val="Arial Black"/>
        <family val="2"/>
        <charset val="204"/>
      </rPr>
      <t xml:space="preserve"> (ОСТАТОК)                 </t>
    </r>
    <r>
      <rPr>
        <b/>
        <sz val="12"/>
        <rFont val="Times New Roman"/>
        <family val="1"/>
        <charset val="204"/>
      </rPr>
      <t xml:space="preserve">                                    </t>
    </r>
  </si>
  <si>
    <r>
      <t xml:space="preserve">Хлебница малая "Универсальная" </t>
    </r>
    <r>
      <rPr>
        <b/>
        <i/>
        <sz val="12"/>
        <color rgb="FFC00000"/>
        <rFont val="Arial Black"/>
        <family val="2"/>
        <charset val="204"/>
      </rPr>
      <t>(ОСТАТОК)</t>
    </r>
  </si>
  <si>
    <t>тел.: +7(964)579-10-26</t>
  </si>
  <si>
    <r>
      <t xml:space="preserve">e-mail: </t>
    </r>
    <r>
      <rPr>
        <b/>
        <i/>
        <sz val="11"/>
        <color rgb="FF0000FF"/>
        <rFont val="Calibri"/>
        <family val="2"/>
        <charset val="204"/>
        <scheme val="minor"/>
      </rPr>
      <t>piniginmv@mp-plus.moscow</t>
    </r>
  </si>
  <si>
    <t>тел.: +7(964) 579-10-26</t>
  </si>
  <si>
    <r>
      <t xml:space="preserve">e-mail: </t>
    </r>
    <r>
      <rPr>
        <b/>
        <i/>
        <sz val="12"/>
        <color rgb="FF0066FF"/>
        <rFont val="Calibri"/>
        <family val="2"/>
        <charset val="204"/>
        <scheme val="minor"/>
      </rPr>
      <t>piniginmv@mp-plus.moscow</t>
    </r>
  </si>
  <si>
    <t>210х220х6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</si>
</sst>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#,##0\ &quot;₽&quot;"/>
    <numFmt numFmtId="166" formatCode="0.000"/>
  </numFmts>
  <fonts count="8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Arial Black"/>
      <family val="2"/>
      <charset val="204"/>
    </font>
    <font>
      <i/>
      <sz val="11"/>
      <color theme="3"/>
      <name val="Arial Black"/>
      <family val="2"/>
      <charset val="204"/>
    </font>
    <font>
      <b/>
      <i/>
      <sz val="10"/>
      <color rgb="FFC00000"/>
      <name val="Arial Black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rgb="FF0000FF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C00000"/>
      <name val="Arial Black"/>
      <family val="2"/>
      <charset val="204"/>
    </font>
    <font>
      <b/>
      <sz val="10"/>
      <color indexed="8"/>
      <name val="Arial Black"/>
      <family val="2"/>
      <charset val="204"/>
    </font>
    <font>
      <b/>
      <i/>
      <sz val="12"/>
      <color indexed="8"/>
      <name val="Calibri"/>
      <family val="2"/>
      <charset val="204"/>
    </font>
    <font>
      <i/>
      <sz val="10"/>
      <color rgb="FFC00000"/>
      <name val="Arial Black"/>
      <family val="2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Arial Black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b/>
      <sz val="12"/>
      <color indexed="10"/>
      <name val="Times New Roman"/>
      <family val="1"/>
      <charset val="204"/>
    </font>
    <font>
      <b/>
      <sz val="11"/>
      <color rgb="FF660033"/>
      <name val="Arial Black"/>
      <family val="2"/>
      <charset val="204"/>
    </font>
    <font>
      <b/>
      <i/>
      <sz val="11"/>
      <color rgb="FF660033"/>
      <name val="Arial Black"/>
      <family val="2"/>
      <charset val="204"/>
    </font>
    <font>
      <b/>
      <i/>
      <sz val="11"/>
      <color indexed="8"/>
      <name val="Arial Black"/>
      <family val="2"/>
      <charset val="204"/>
    </font>
    <font>
      <sz val="8"/>
      <name val="Arial"/>
      <family val="2"/>
      <charset val="204"/>
    </font>
    <font>
      <b/>
      <sz val="16"/>
      <color indexed="30"/>
      <name val="Calibri"/>
      <family val="2"/>
      <charset val="204"/>
    </font>
    <font>
      <sz val="12"/>
      <color indexed="63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rgb="FF0070C0"/>
      <name val="Arial Rounded MT Bold"/>
      <family val="2"/>
    </font>
    <font>
      <sz val="8"/>
      <name val="Calibri"/>
      <family val="2"/>
      <charset val="1"/>
    </font>
    <font>
      <b/>
      <sz val="12"/>
      <color indexed="63"/>
      <name val="Calibri"/>
      <family val="2"/>
      <charset val="204"/>
    </font>
    <font>
      <b/>
      <sz val="11"/>
      <color rgb="FF0070C0"/>
      <name val="Calibri"/>
      <family val="2"/>
      <charset val="204"/>
    </font>
    <font>
      <sz val="11"/>
      <color rgb="FF00B0F0"/>
      <name val="Calibri"/>
      <family val="2"/>
      <charset val="204"/>
    </font>
    <font>
      <b/>
      <sz val="11"/>
      <color rgb="FF00B0F0"/>
      <name val="Calibri"/>
      <family val="2"/>
      <charset val="204"/>
    </font>
    <font>
      <sz val="10"/>
      <color rgb="FF00B0F0"/>
      <name val="Calibri"/>
      <family val="2"/>
      <charset val="204"/>
    </font>
    <font>
      <sz val="10"/>
      <color indexed="63"/>
      <name val="Calibri"/>
      <family val="2"/>
      <charset val="204"/>
    </font>
    <font>
      <b/>
      <sz val="16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2"/>
      <color rgb="FFFFFF00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rgb="FF0066FF"/>
      <name val="Calibri"/>
      <family val="2"/>
      <charset val="204"/>
      <scheme val="minor"/>
    </font>
    <font>
      <b/>
      <i/>
      <sz val="12"/>
      <color rgb="FF0066FF"/>
      <name val="Calibri"/>
      <family val="2"/>
      <charset val="204"/>
      <scheme val="minor"/>
    </font>
    <font>
      <b/>
      <sz val="11"/>
      <color rgb="FFC00000"/>
      <name val="Arial Black"/>
      <family val="2"/>
      <charset val="204"/>
    </font>
    <font>
      <b/>
      <i/>
      <u/>
      <sz val="11"/>
      <color rgb="FFC00000"/>
      <name val="Arial Black"/>
      <family val="2"/>
      <charset val="204"/>
    </font>
    <font>
      <b/>
      <sz val="12"/>
      <color rgb="FF800000"/>
      <name val="Arial Narrow"/>
      <family val="2"/>
      <charset val="204"/>
    </font>
    <font>
      <b/>
      <i/>
      <sz val="9"/>
      <color rgb="FFC00000"/>
      <name val="Arial Black"/>
      <family val="2"/>
      <charset val="204"/>
    </font>
    <font>
      <b/>
      <i/>
      <sz val="11"/>
      <name val="Calibri"/>
      <family val="2"/>
      <charset val="204"/>
    </font>
    <font>
      <b/>
      <sz val="8"/>
      <color indexed="8"/>
      <name val="Arial Black"/>
      <family val="2"/>
      <charset val="204"/>
    </font>
    <font>
      <i/>
      <sz val="11"/>
      <color rgb="FFC00000"/>
      <name val="Arial Black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Black"/>
      <family val="2"/>
      <charset val="204"/>
    </font>
    <font>
      <b/>
      <i/>
      <u/>
      <sz val="11"/>
      <color rgb="FF660033"/>
      <name val="Arial Black"/>
      <family val="2"/>
      <charset val="204"/>
    </font>
    <font>
      <b/>
      <i/>
      <sz val="10"/>
      <color theme="1"/>
      <name val="Arial Narrow"/>
      <family val="2"/>
      <charset val="204"/>
    </font>
    <font>
      <sz val="10"/>
      <color theme="1"/>
      <name val="Arial Black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Arial Narrow"/>
      <family val="2"/>
      <charset val="204"/>
    </font>
    <font>
      <sz val="11"/>
      <color theme="1"/>
      <name val="Arial Black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C00000"/>
      <name val="Calibri"/>
      <family val="2"/>
      <charset val="204"/>
      <scheme val="minor"/>
    </font>
    <font>
      <b/>
      <i/>
      <u/>
      <sz val="12"/>
      <color rgb="FFC00000"/>
      <name val="Arial Narrow"/>
      <family val="2"/>
      <charset val="204"/>
    </font>
    <font>
      <i/>
      <sz val="10"/>
      <color theme="1"/>
      <name val="Arial Black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0000"/>
      <name val="Arial Black"/>
      <family val="2"/>
      <charset val="204"/>
    </font>
    <font>
      <b/>
      <i/>
      <sz val="14"/>
      <color rgb="FF800000"/>
      <name val="Arial Narrow"/>
      <family val="2"/>
      <charset val="204"/>
    </font>
    <font>
      <b/>
      <sz val="14"/>
      <color rgb="FF800000"/>
      <name val="Arial Narrow"/>
      <family val="2"/>
      <charset val="204"/>
    </font>
    <font>
      <b/>
      <sz val="10"/>
      <color rgb="FF700000"/>
      <name val="Arial Rounded MT Bold"/>
      <family val="2"/>
    </font>
    <font>
      <b/>
      <i/>
      <sz val="12"/>
      <name val="Arial Black"/>
      <family val="2"/>
      <charset val="204"/>
    </font>
    <font>
      <b/>
      <i/>
      <sz val="12"/>
      <color rgb="FFC00000"/>
      <name val="Arial Black"/>
      <family val="2"/>
      <charset val="204"/>
    </font>
    <font>
      <i/>
      <sz val="12"/>
      <name val="Arial Black"/>
      <family val="2"/>
      <charset val="204"/>
    </font>
    <font>
      <i/>
      <sz val="12"/>
      <color rgb="FFC00000"/>
      <name val="Arial Black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30"/>
      </left>
      <right style="thick">
        <color indexed="30"/>
      </right>
      <top style="thick">
        <color indexed="3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>
      <alignment horizontal="left"/>
    </xf>
    <xf numFmtId="0" fontId="41" fillId="0" borderId="0"/>
  </cellStyleXfs>
  <cellXfs count="304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4" fontId="10" fillId="0" borderId="0" xfId="0" applyNumberFormat="1" applyFont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center"/>
    </xf>
    <xf numFmtId="2" fontId="0" fillId="5" borderId="3" xfId="0" applyNumberFormat="1" applyFill="1" applyBorder="1" applyAlignment="1">
      <alignment vertical="center"/>
    </xf>
    <xf numFmtId="0" fontId="15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27" fillId="11" borderId="0" xfId="0" applyFont="1" applyFill="1" applyBorder="1" applyAlignment="1">
      <alignment vertical="center"/>
    </xf>
    <xf numFmtId="0" fontId="28" fillId="11" borderId="0" xfId="0" applyFont="1" applyFill="1" applyBorder="1" applyAlignment="1">
      <alignment vertical="center" wrapText="1"/>
    </xf>
    <xf numFmtId="4" fontId="28" fillId="11" borderId="0" xfId="0" applyNumberFormat="1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Border="1"/>
    <xf numFmtId="49" fontId="0" fillId="0" borderId="1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8" fillId="11" borderId="0" xfId="0" applyFont="1" applyFill="1" applyBorder="1"/>
    <xf numFmtId="0" fontId="31" fillId="0" borderId="25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31" fillId="0" borderId="29" xfId="0" applyFont="1" applyBorder="1" applyAlignment="1">
      <alignment horizontal="left"/>
    </xf>
    <xf numFmtId="0" fontId="0" fillId="11" borderId="0" xfId="0" applyFill="1" applyBorder="1"/>
    <xf numFmtId="0" fontId="0" fillId="0" borderId="29" xfId="0" applyBorder="1" applyAlignment="1">
      <alignment horizontal="left"/>
    </xf>
    <xf numFmtId="0" fontId="32" fillId="11" borderId="0" xfId="0" applyFont="1" applyFill="1" applyBorder="1" applyAlignment="1">
      <alignment vertical="center"/>
    </xf>
    <xf numFmtId="0" fontId="28" fillId="12" borderId="0" xfId="0" applyFont="1" applyFill="1"/>
    <xf numFmtId="0" fontId="33" fillId="12" borderId="0" xfId="0" applyFont="1" applyFill="1" applyAlignment="1">
      <alignment horizontal="left" vertical="top"/>
    </xf>
    <xf numFmtId="0" fontId="34" fillId="0" borderId="0" xfId="0" applyFont="1"/>
    <xf numFmtId="1" fontId="35" fillId="11" borderId="0" xfId="0" applyNumberFormat="1" applyFont="1" applyFill="1" applyAlignment="1">
      <alignment horizontal="center"/>
    </xf>
    <xf numFmtId="0" fontId="36" fillId="11" borderId="0" xfId="0" applyFont="1" applyFill="1" applyAlignment="1">
      <alignment vertical="center"/>
    </xf>
    <xf numFmtId="0" fontId="37" fillId="11" borderId="0" xfId="0" applyFont="1" applyFill="1" applyAlignment="1">
      <alignment vertical="center"/>
    </xf>
    <xf numFmtId="0" fontId="32" fillId="12" borderId="0" xfId="0" applyFont="1" applyFill="1" applyBorder="1" applyAlignment="1">
      <alignment horizontal="center" vertical="center"/>
    </xf>
    <xf numFmtId="0" fontId="0" fillId="11" borderId="0" xfId="0" applyFill="1"/>
    <xf numFmtId="0" fontId="28" fillId="12" borderId="0" xfId="0" applyFont="1" applyFill="1" applyBorder="1"/>
    <xf numFmtId="9" fontId="38" fillId="12" borderId="40" xfId="0" applyNumberFormat="1" applyFont="1" applyFill="1" applyBorder="1" applyAlignment="1">
      <alignment horizontal="center" vertical="center" wrapText="1"/>
    </xf>
    <xf numFmtId="1" fontId="38" fillId="12" borderId="0" xfId="0" applyNumberFormat="1" applyFont="1" applyFill="1" applyBorder="1" applyAlignment="1">
      <alignment horizontal="center" vertical="center" wrapText="1"/>
    </xf>
    <xf numFmtId="1" fontId="39" fillId="12" borderId="0" xfId="0" applyNumberFormat="1" applyFont="1" applyFill="1" applyAlignment="1">
      <alignment horizontal="right" vertical="center"/>
    </xf>
    <xf numFmtId="1" fontId="40" fillId="13" borderId="12" xfId="3" applyNumberFormat="1" applyFont="1" applyFill="1" applyBorder="1" applyAlignment="1">
      <alignment horizontal="center" vertical="center" wrapText="1"/>
    </xf>
    <xf numFmtId="4" fontId="40" fillId="13" borderId="12" xfId="3" applyNumberFormat="1" applyFont="1" applyFill="1" applyBorder="1" applyAlignment="1">
      <alignment horizontal="center" vertical="center" wrapText="1"/>
    </xf>
    <xf numFmtId="164" fontId="40" fillId="13" borderId="12" xfId="1" applyNumberFormat="1" applyFont="1" applyFill="1" applyBorder="1" applyAlignment="1">
      <alignment horizontal="center" vertical="center" wrapText="1"/>
    </xf>
    <xf numFmtId="12" fontId="44" fillId="0" borderId="12" xfId="0" applyNumberFormat="1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2" fontId="0" fillId="0" borderId="0" xfId="0" applyNumberFormat="1"/>
    <xf numFmtId="0" fontId="0" fillId="2" borderId="0" xfId="0" applyFont="1" applyFill="1"/>
    <xf numFmtId="0" fontId="0" fillId="0" borderId="0" xfId="0" applyFont="1"/>
    <xf numFmtId="0" fontId="7" fillId="0" borderId="0" xfId="2" applyFont="1" applyBorder="1" applyAlignment="1" applyProtection="1">
      <alignment horizontal="center" vertical="center"/>
    </xf>
    <xf numFmtId="0" fontId="48" fillId="0" borderId="0" xfId="2" applyFont="1" applyBorder="1" applyAlignment="1" applyProtection="1">
      <alignment vertical="center"/>
    </xf>
    <xf numFmtId="0" fontId="7" fillId="0" borderId="0" xfId="2" applyFont="1" applyBorder="1" applyAlignment="1" applyProtection="1">
      <alignment horizontal="center"/>
    </xf>
    <xf numFmtId="164" fontId="7" fillId="0" borderId="0" xfId="2" applyNumberFormat="1" applyFont="1" applyBorder="1" applyAlignment="1" applyProtection="1">
      <alignment horizontal="center"/>
    </xf>
    <xf numFmtId="0" fontId="7" fillId="0" borderId="0" xfId="2" applyFont="1" applyBorder="1" applyAlignment="1" applyProtection="1">
      <alignment horizontal="center" vertical="top"/>
    </xf>
    <xf numFmtId="49" fontId="50" fillId="0" borderId="0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0" fillId="2" borderId="43" xfId="0" applyFill="1" applyBorder="1"/>
    <xf numFmtId="166" fontId="54" fillId="3" borderId="6" xfId="0" applyNumberFormat="1" applyFont="1" applyFill="1" applyBorder="1" applyAlignment="1">
      <alignment horizontal="center" vertical="center"/>
    </xf>
    <xf numFmtId="2" fontId="54" fillId="3" borderId="6" xfId="0" applyNumberFormat="1" applyFont="1" applyFill="1" applyBorder="1" applyAlignment="1">
      <alignment horizontal="center" vertical="center"/>
    </xf>
    <xf numFmtId="0" fontId="55" fillId="6" borderId="11" xfId="0" applyFont="1" applyFill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0" fontId="0" fillId="2" borderId="41" xfId="0" applyFill="1" applyBorder="1"/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0" fontId="55" fillId="6" borderId="12" xfId="0" applyFont="1" applyFill="1" applyBorder="1" applyAlignment="1">
      <alignment horizontal="center" vertical="center"/>
    </xf>
    <xf numFmtId="4" fontId="18" fillId="0" borderId="45" xfId="0" applyNumberFormat="1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2" borderId="41" xfId="0" applyNumberFormat="1" applyFill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55" fillId="6" borderId="14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2" fontId="57" fillId="0" borderId="17" xfId="0" applyNumberFormat="1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0" fillId="5" borderId="7" xfId="0" applyFill="1" applyBorder="1"/>
    <xf numFmtId="2" fontId="0" fillId="5" borderId="7" xfId="0" applyNumberFormat="1" applyFill="1" applyBorder="1"/>
    <xf numFmtId="2" fontId="0" fillId="5" borderId="4" xfId="0" applyNumberFormat="1" applyFill="1" applyBorder="1"/>
    <xf numFmtId="0" fontId="19" fillId="0" borderId="12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Border="1"/>
    <xf numFmtId="0" fontId="10" fillId="0" borderId="12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0" fontId="62" fillId="2" borderId="0" xfId="0" applyFont="1" applyFill="1"/>
    <xf numFmtId="0" fontId="62" fillId="0" borderId="0" xfId="0" applyFont="1"/>
    <xf numFmtId="0" fontId="0" fillId="14" borderId="0" xfId="0" applyFill="1"/>
    <xf numFmtId="0" fontId="0" fillId="14" borderId="0" xfId="0" applyFill="1" applyBorder="1"/>
    <xf numFmtId="0" fontId="63" fillId="14" borderId="0" xfId="0" applyFont="1" applyFill="1" applyBorder="1" applyAlignment="1">
      <alignment vertical="center"/>
    </xf>
    <xf numFmtId="0" fontId="63" fillId="14" borderId="0" xfId="0" applyFont="1" applyFill="1" applyAlignment="1">
      <alignment vertical="center"/>
    </xf>
    <xf numFmtId="0" fontId="65" fillId="14" borderId="37" xfId="0" applyFont="1" applyFill="1" applyBorder="1" applyAlignment="1">
      <alignment vertical="center"/>
    </xf>
    <xf numFmtId="0" fontId="65" fillId="14" borderId="0" xfId="0" applyFont="1" applyFill="1" applyAlignment="1"/>
    <xf numFmtId="0" fontId="7" fillId="14" borderId="0" xfId="2" applyFont="1" applyFill="1" applyBorder="1" applyAlignment="1" applyProtection="1"/>
    <xf numFmtId="0" fontId="67" fillId="0" borderId="0" xfId="0" applyFont="1" applyAlignment="1">
      <alignment horizontal="center" vertical="center"/>
    </xf>
    <xf numFmtId="0" fontId="66" fillId="0" borderId="0" xfId="0" applyFont="1" applyBorder="1" applyAlignment="1">
      <alignment horizontal="center" vertical="top" wrapText="1"/>
    </xf>
    <xf numFmtId="0" fontId="60" fillId="4" borderId="53" xfId="0" applyFont="1" applyFill="1" applyBorder="1" applyAlignment="1">
      <alignment horizontal="center" vertical="center" wrapText="1"/>
    </xf>
    <xf numFmtId="0" fontId="60" fillId="4" borderId="54" xfId="0" applyFont="1" applyFill="1" applyBorder="1" applyAlignment="1">
      <alignment horizontal="center" vertical="center" wrapText="1"/>
    </xf>
    <xf numFmtId="0" fontId="60" fillId="4" borderId="55" xfId="0" applyFont="1" applyFill="1" applyBorder="1" applyAlignment="1">
      <alignment horizontal="center" vertical="center" wrapText="1"/>
    </xf>
    <xf numFmtId="0" fontId="60" fillId="4" borderId="51" xfId="0" applyFont="1" applyFill="1" applyBorder="1" applyAlignment="1">
      <alignment horizontal="center" vertical="center" wrapText="1"/>
    </xf>
    <xf numFmtId="0" fontId="60" fillId="4" borderId="6" xfId="0" applyFont="1" applyFill="1" applyBorder="1" applyAlignment="1">
      <alignment horizontal="center" vertical="center" wrapText="1"/>
    </xf>
    <xf numFmtId="0" fontId="0" fillId="4" borderId="52" xfId="0" applyFill="1" applyBorder="1"/>
    <xf numFmtId="164" fontId="11" fillId="7" borderId="6" xfId="0" applyNumberFormat="1" applyFont="1" applyFill="1" applyBorder="1" applyAlignment="1">
      <alignment horizontal="center" vertical="center"/>
    </xf>
    <xf numFmtId="0" fontId="69" fillId="0" borderId="56" xfId="0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2" fontId="71" fillId="0" borderId="57" xfId="0" applyNumberFormat="1" applyFont="1" applyBorder="1" applyAlignment="1">
      <alignment horizontal="center" vertical="center"/>
    </xf>
    <xf numFmtId="0" fontId="70" fillId="0" borderId="58" xfId="0" applyFont="1" applyFill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0" fontId="69" fillId="0" borderId="60" xfId="0" applyFont="1" applyBorder="1" applyAlignment="1">
      <alignment horizontal="left" vertical="center"/>
    </xf>
    <xf numFmtId="0" fontId="70" fillId="0" borderId="12" xfId="0" applyFont="1" applyBorder="1" applyAlignment="1">
      <alignment horizontal="center" vertical="center"/>
    </xf>
    <xf numFmtId="0" fontId="71" fillId="0" borderId="61" xfId="0" applyFont="1" applyBorder="1" applyAlignment="1">
      <alignment horizontal="center" vertical="center"/>
    </xf>
    <xf numFmtId="0" fontId="70" fillId="0" borderId="60" xfId="0" applyFont="1" applyFill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2" fontId="71" fillId="0" borderId="61" xfId="0" applyNumberFormat="1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69" fillId="0" borderId="62" xfId="0" applyFont="1" applyBorder="1" applyAlignment="1">
      <alignment horizontal="left" vertical="center" wrapText="1"/>
    </xf>
    <xf numFmtId="0" fontId="70" fillId="0" borderId="14" xfId="0" applyFont="1" applyBorder="1" applyAlignment="1">
      <alignment horizontal="center" vertical="center"/>
    </xf>
    <xf numFmtId="2" fontId="71" fillId="0" borderId="63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2" fontId="0" fillId="15" borderId="4" xfId="0" applyNumberFormat="1" applyFill="1" applyBorder="1" applyAlignment="1">
      <alignment horizontal="center" vertical="center"/>
    </xf>
    <xf numFmtId="0" fontId="70" fillId="0" borderId="56" xfId="0" applyFont="1" applyFill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69" fillId="0" borderId="64" xfId="0" applyFont="1" applyBorder="1" applyAlignment="1">
      <alignment horizontal="left" vertical="center"/>
    </xf>
    <xf numFmtId="0" fontId="70" fillId="0" borderId="65" xfId="0" applyFont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0" fontId="69" fillId="0" borderId="58" xfId="0" applyFont="1" applyBorder="1" applyAlignment="1">
      <alignment horizontal="left" vertical="center"/>
    </xf>
    <xf numFmtId="0" fontId="0" fillId="0" borderId="67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71" fillId="0" borderId="68" xfId="0" applyNumberFormat="1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165" fontId="72" fillId="0" borderId="0" xfId="2" applyNumberFormat="1" applyFont="1" applyBorder="1" applyAlignment="1" applyProtection="1">
      <alignment horizontal="right" vertical="center"/>
    </xf>
    <xf numFmtId="49" fontId="73" fillId="0" borderId="0" xfId="2" applyNumberFormat="1" applyFont="1" applyBorder="1" applyAlignment="1" applyProtection="1">
      <alignment horizontal="left" vertical="center"/>
    </xf>
    <xf numFmtId="164" fontId="72" fillId="0" borderId="0" xfId="2" applyNumberFormat="1" applyFont="1" applyBorder="1" applyAlignment="1" applyProtection="1">
      <alignment horizontal="right" vertical="center"/>
    </xf>
    <xf numFmtId="0" fontId="68" fillId="15" borderId="4" xfId="0" applyFont="1" applyFill="1" applyBorder="1" applyAlignment="1">
      <alignment vertical="center"/>
    </xf>
    <xf numFmtId="4" fontId="18" fillId="0" borderId="12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" fontId="18" fillId="0" borderId="14" xfId="0" applyNumberFormat="1" applyFont="1" applyFill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2" fontId="57" fillId="0" borderId="14" xfId="0" applyNumberFormat="1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4" fontId="22" fillId="0" borderId="12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2" fontId="71" fillId="0" borderId="59" xfId="0" applyNumberFormat="1" applyFont="1" applyBorder="1" applyAlignment="1">
      <alignment horizontal="center" vertical="center"/>
    </xf>
    <xf numFmtId="2" fontId="71" fillId="0" borderId="66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2" fillId="0" borderId="0" xfId="2" applyFont="1" applyBorder="1" applyAlignment="1" applyProtection="1">
      <alignment horizontal="right" vertical="center"/>
    </xf>
    <xf numFmtId="4" fontId="12" fillId="4" borderId="42" xfId="0" applyNumberFormat="1" applyFont="1" applyFill="1" applyBorder="1" applyAlignment="1">
      <alignment horizontal="center" vertical="center" wrapText="1"/>
    </xf>
    <xf numFmtId="4" fontId="12" fillId="4" borderId="44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4" fillId="0" borderId="51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52" xfId="0" applyFont="1" applyBorder="1" applyAlignment="1">
      <alignment horizontal="center" vertical="center" wrapText="1"/>
    </xf>
    <xf numFmtId="164" fontId="71" fillId="0" borderId="51" xfId="0" applyNumberFormat="1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1" fillId="0" borderId="52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0" fontId="7" fillId="0" borderId="0" xfId="2" applyFont="1" applyBorder="1" applyAlignment="1" applyProtection="1">
      <alignment horizontal="center"/>
    </xf>
    <xf numFmtId="0" fontId="49" fillId="0" borderId="0" xfId="2" applyFont="1" applyBorder="1" applyAlignment="1" applyProtection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0" fillId="13" borderId="12" xfId="0" applyFont="1" applyFill="1" applyBorder="1" applyAlignment="1">
      <alignment horizontal="center" vertical="center"/>
    </xf>
    <xf numFmtId="0" fontId="40" fillId="13" borderId="12" xfId="3" applyFont="1" applyFill="1" applyBorder="1" applyAlignment="1">
      <alignment horizontal="center" vertical="center" wrapText="1"/>
    </xf>
    <xf numFmtId="4" fontId="40" fillId="13" borderId="12" xfId="4" applyNumberFormat="1" applyFont="1" applyFill="1" applyBorder="1" applyAlignment="1">
      <alignment horizontal="center" vertical="center" wrapText="1"/>
    </xf>
    <xf numFmtId="4" fontId="42" fillId="13" borderId="12" xfId="4" applyNumberFormat="1" applyFont="1" applyFill="1" applyBorder="1" applyAlignment="1">
      <alignment horizontal="center" vertical="center" wrapText="1"/>
    </xf>
    <xf numFmtId="4" fontId="43" fillId="13" borderId="14" xfId="4" applyNumberFormat="1" applyFont="1" applyFill="1" applyBorder="1" applyAlignment="1">
      <alignment horizontal="center" vertical="center" wrapText="1"/>
    </xf>
    <xf numFmtId="4" fontId="43" fillId="13" borderId="11" xfId="4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26" fillId="11" borderId="0" xfId="3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center"/>
    </xf>
    <xf numFmtId="0" fontId="31" fillId="0" borderId="26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29" xfId="0" applyFont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1" fillId="0" borderId="31" xfId="0" applyFont="1" applyBorder="1" applyAlignment="1">
      <alignment horizontal="left"/>
    </xf>
    <xf numFmtId="0" fontId="68" fillId="15" borderId="3" xfId="0" applyFont="1" applyFill="1" applyBorder="1" applyAlignment="1">
      <alignment horizontal="center" vertical="center"/>
    </xf>
    <xf numFmtId="0" fontId="68" fillId="15" borderId="7" xfId="0" applyFont="1" applyFill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Border="1" applyAlignment="1">
      <alignment horizontal="center" vertical="top" wrapText="1"/>
    </xf>
    <xf numFmtId="0" fontId="79" fillId="0" borderId="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</cellXfs>
  <cellStyles count="5">
    <cellStyle name="Гиперссылка" xfId="2" builtinId="8"/>
    <cellStyle name="Денежный" xfId="1" builtinId="4"/>
    <cellStyle name="Обычный" xfId="0" builtinId="0"/>
    <cellStyle name="Обычный_Лист1" xfId="3"/>
    <cellStyle name="Обычный_Лист1_1" xfId="4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0066FF"/>
      <color rgb="FF7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9.tiff"/><Relationship Id="rId18" Type="http://schemas.openxmlformats.org/officeDocument/2006/relationships/image" Target="../media/image74.tiff"/><Relationship Id="rId26" Type="http://schemas.openxmlformats.org/officeDocument/2006/relationships/image" Target="../media/image82.tiff"/><Relationship Id="rId39" Type="http://schemas.openxmlformats.org/officeDocument/2006/relationships/image" Target="../media/image95.tiff"/><Relationship Id="rId3" Type="http://schemas.openxmlformats.org/officeDocument/2006/relationships/image" Target="../media/image59.tiff"/><Relationship Id="rId21" Type="http://schemas.openxmlformats.org/officeDocument/2006/relationships/image" Target="../media/image77.tiff"/><Relationship Id="rId34" Type="http://schemas.openxmlformats.org/officeDocument/2006/relationships/image" Target="../media/image90.tiff"/><Relationship Id="rId42" Type="http://schemas.openxmlformats.org/officeDocument/2006/relationships/image" Target="../media/image98.tiff"/><Relationship Id="rId47" Type="http://schemas.openxmlformats.org/officeDocument/2006/relationships/image" Target="../media/image103.tiff"/><Relationship Id="rId50" Type="http://schemas.openxmlformats.org/officeDocument/2006/relationships/image" Target="../media/image106.tiff"/><Relationship Id="rId7" Type="http://schemas.openxmlformats.org/officeDocument/2006/relationships/image" Target="../media/image63.tiff"/><Relationship Id="rId12" Type="http://schemas.openxmlformats.org/officeDocument/2006/relationships/image" Target="../media/image68.tiff"/><Relationship Id="rId17" Type="http://schemas.openxmlformats.org/officeDocument/2006/relationships/image" Target="../media/image73.tiff"/><Relationship Id="rId25" Type="http://schemas.openxmlformats.org/officeDocument/2006/relationships/image" Target="../media/image81.tiff"/><Relationship Id="rId33" Type="http://schemas.openxmlformats.org/officeDocument/2006/relationships/image" Target="../media/image89.tiff"/><Relationship Id="rId38" Type="http://schemas.openxmlformats.org/officeDocument/2006/relationships/image" Target="../media/image94.tiff"/><Relationship Id="rId46" Type="http://schemas.openxmlformats.org/officeDocument/2006/relationships/image" Target="../media/image102.tiff"/><Relationship Id="rId2" Type="http://schemas.openxmlformats.org/officeDocument/2006/relationships/image" Target="../media/image58.tiff"/><Relationship Id="rId16" Type="http://schemas.openxmlformats.org/officeDocument/2006/relationships/image" Target="../media/image72.tiff"/><Relationship Id="rId20" Type="http://schemas.openxmlformats.org/officeDocument/2006/relationships/image" Target="../media/image76.tiff"/><Relationship Id="rId29" Type="http://schemas.openxmlformats.org/officeDocument/2006/relationships/image" Target="../media/image85.tiff"/><Relationship Id="rId41" Type="http://schemas.openxmlformats.org/officeDocument/2006/relationships/image" Target="../media/image97.tiff"/><Relationship Id="rId1" Type="http://schemas.openxmlformats.org/officeDocument/2006/relationships/image" Target="../media/image57.tiff"/><Relationship Id="rId6" Type="http://schemas.openxmlformats.org/officeDocument/2006/relationships/image" Target="../media/image62.tiff"/><Relationship Id="rId11" Type="http://schemas.openxmlformats.org/officeDocument/2006/relationships/image" Target="../media/image67.tiff"/><Relationship Id="rId24" Type="http://schemas.openxmlformats.org/officeDocument/2006/relationships/image" Target="../media/image80.tiff"/><Relationship Id="rId32" Type="http://schemas.openxmlformats.org/officeDocument/2006/relationships/image" Target="../media/image88.tiff"/><Relationship Id="rId37" Type="http://schemas.openxmlformats.org/officeDocument/2006/relationships/image" Target="../media/image93.tiff"/><Relationship Id="rId40" Type="http://schemas.openxmlformats.org/officeDocument/2006/relationships/image" Target="../media/image96.tiff"/><Relationship Id="rId45" Type="http://schemas.openxmlformats.org/officeDocument/2006/relationships/image" Target="../media/image101.tiff"/><Relationship Id="rId5" Type="http://schemas.openxmlformats.org/officeDocument/2006/relationships/image" Target="../media/image61.tiff"/><Relationship Id="rId15" Type="http://schemas.openxmlformats.org/officeDocument/2006/relationships/image" Target="../media/image71.tiff"/><Relationship Id="rId23" Type="http://schemas.openxmlformats.org/officeDocument/2006/relationships/image" Target="../media/image79.tiff"/><Relationship Id="rId28" Type="http://schemas.openxmlformats.org/officeDocument/2006/relationships/image" Target="../media/image84.tiff"/><Relationship Id="rId36" Type="http://schemas.openxmlformats.org/officeDocument/2006/relationships/image" Target="../media/image92.tiff"/><Relationship Id="rId49" Type="http://schemas.openxmlformats.org/officeDocument/2006/relationships/image" Target="../media/image105.tiff"/><Relationship Id="rId10" Type="http://schemas.openxmlformats.org/officeDocument/2006/relationships/image" Target="../media/image66.tiff"/><Relationship Id="rId19" Type="http://schemas.openxmlformats.org/officeDocument/2006/relationships/image" Target="../media/image75.tiff"/><Relationship Id="rId31" Type="http://schemas.openxmlformats.org/officeDocument/2006/relationships/image" Target="../media/image87.tiff"/><Relationship Id="rId44" Type="http://schemas.openxmlformats.org/officeDocument/2006/relationships/image" Target="../media/image100.tiff"/><Relationship Id="rId4" Type="http://schemas.openxmlformats.org/officeDocument/2006/relationships/image" Target="../media/image60.tiff"/><Relationship Id="rId9" Type="http://schemas.openxmlformats.org/officeDocument/2006/relationships/image" Target="../media/image65.tiff"/><Relationship Id="rId14" Type="http://schemas.openxmlformats.org/officeDocument/2006/relationships/image" Target="../media/image70.tiff"/><Relationship Id="rId22" Type="http://schemas.openxmlformats.org/officeDocument/2006/relationships/image" Target="../media/image78.tiff"/><Relationship Id="rId27" Type="http://schemas.openxmlformats.org/officeDocument/2006/relationships/image" Target="../media/image83.tiff"/><Relationship Id="rId30" Type="http://schemas.openxmlformats.org/officeDocument/2006/relationships/image" Target="../media/image86.tiff"/><Relationship Id="rId35" Type="http://schemas.openxmlformats.org/officeDocument/2006/relationships/image" Target="../media/image91.tiff"/><Relationship Id="rId43" Type="http://schemas.openxmlformats.org/officeDocument/2006/relationships/image" Target="../media/image99.tiff"/><Relationship Id="rId48" Type="http://schemas.openxmlformats.org/officeDocument/2006/relationships/image" Target="../media/image104.tiff"/><Relationship Id="rId8" Type="http://schemas.openxmlformats.org/officeDocument/2006/relationships/image" Target="../media/image64.tiff"/><Relationship Id="rId51" Type="http://schemas.openxmlformats.org/officeDocument/2006/relationships/image" Target="../media/image10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77</xdr:row>
      <xdr:rowOff>38100</xdr:rowOff>
    </xdr:from>
    <xdr:to>
      <xdr:col>5</xdr:col>
      <xdr:colOff>0</xdr:colOff>
      <xdr:row>77</xdr:row>
      <xdr:rowOff>638175</xdr:rowOff>
    </xdr:to>
    <xdr:pic>
      <xdr:nvPicPr>
        <xdr:cNvPr id="197" name="Picture 33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67350" y="3606165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52</xdr:row>
      <xdr:rowOff>38100</xdr:rowOff>
    </xdr:from>
    <xdr:to>
      <xdr:col>5</xdr:col>
      <xdr:colOff>0</xdr:colOff>
      <xdr:row>53</xdr:row>
      <xdr:rowOff>9525</xdr:rowOff>
    </xdr:to>
    <xdr:pic>
      <xdr:nvPicPr>
        <xdr:cNvPr id="198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67350" y="2177415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219076</xdr:colOff>
      <xdr:row>24</xdr:row>
      <xdr:rowOff>33339</xdr:rowOff>
    </xdr:from>
    <xdr:to>
      <xdr:col>1</xdr:col>
      <xdr:colOff>990601</xdr:colOff>
      <xdr:row>24</xdr:row>
      <xdr:rowOff>690563</xdr:rowOff>
    </xdr:to>
    <xdr:pic>
      <xdr:nvPicPr>
        <xdr:cNvPr id="199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6" y="6129339"/>
          <a:ext cx="771525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26194</xdr:colOff>
      <xdr:row>23</xdr:row>
      <xdr:rowOff>42334</xdr:rowOff>
    </xdr:from>
    <xdr:to>
      <xdr:col>1</xdr:col>
      <xdr:colOff>1019175</xdr:colOff>
      <xdr:row>23</xdr:row>
      <xdr:rowOff>533400</xdr:rowOff>
    </xdr:to>
    <xdr:pic>
      <xdr:nvPicPr>
        <xdr:cNvPr id="200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527" y="5418667"/>
          <a:ext cx="992981" cy="49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18521</xdr:colOff>
      <xdr:row>35</xdr:row>
      <xdr:rowOff>40218</xdr:rowOff>
    </xdr:from>
    <xdr:to>
      <xdr:col>1</xdr:col>
      <xdr:colOff>894821</xdr:colOff>
      <xdr:row>35</xdr:row>
      <xdr:rowOff>497417</xdr:rowOff>
    </xdr:to>
    <xdr:pic>
      <xdr:nvPicPr>
        <xdr:cNvPr id="20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854" y="12274551"/>
          <a:ext cx="876300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213519</xdr:colOff>
      <xdr:row>38</xdr:row>
      <xdr:rowOff>25137</xdr:rowOff>
    </xdr:from>
    <xdr:to>
      <xdr:col>1</xdr:col>
      <xdr:colOff>832644</xdr:colOff>
      <xdr:row>38</xdr:row>
      <xdr:rowOff>558537</xdr:rowOff>
    </xdr:to>
    <xdr:pic>
      <xdr:nvPicPr>
        <xdr:cNvPr id="206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9852" y="13973970"/>
          <a:ext cx="619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143669</xdr:colOff>
      <xdr:row>64</xdr:row>
      <xdr:rowOff>15081</xdr:rowOff>
    </xdr:from>
    <xdr:to>
      <xdr:col>1</xdr:col>
      <xdr:colOff>877094</xdr:colOff>
      <xdr:row>64</xdr:row>
      <xdr:rowOff>558006</xdr:rowOff>
    </xdr:to>
    <xdr:pic>
      <xdr:nvPicPr>
        <xdr:cNvPr id="208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7357" y="28455144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166687</xdr:colOff>
      <xdr:row>66</xdr:row>
      <xdr:rowOff>52387</xdr:rowOff>
    </xdr:from>
    <xdr:to>
      <xdr:col>1</xdr:col>
      <xdr:colOff>928687</xdr:colOff>
      <xdr:row>67</xdr:row>
      <xdr:rowOff>0</xdr:rowOff>
    </xdr:to>
    <xdr:pic>
      <xdr:nvPicPr>
        <xdr:cNvPr id="209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375" y="29635450"/>
          <a:ext cx="762000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150813</xdr:colOff>
      <xdr:row>67</xdr:row>
      <xdr:rowOff>26193</xdr:rowOff>
    </xdr:from>
    <xdr:to>
      <xdr:col>1</xdr:col>
      <xdr:colOff>969963</xdr:colOff>
      <xdr:row>67</xdr:row>
      <xdr:rowOff>559593</xdr:rowOff>
    </xdr:to>
    <xdr:pic>
      <xdr:nvPicPr>
        <xdr:cNvPr id="210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4501" y="30180756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78580</xdr:colOff>
      <xdr:row>76</xdr:row>
      <xdr:rowOff>76200</xdr:rowOff>
    </xdr:from>
    <xdr:to>
      <xdr:col>1</xdr:col>
      <xdr:colOff>1183480</xdr:colOff>
      <xdr:row>76</xdr:row>
      <xdr:rowOff>523875</xdr:rowOff>
    </xdr:to>
    <xdr:pic>
      <xdr:nvPicPr>
        <xdr:cNvPr id="211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330" y="35528250"/>
          <a:ext cx="1057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50006</xdr:colOff>
      <xdr:row>47</xdr:row>
      <xdr:rowOff>128587</xdr:rowOff>
    </xdr:from>
    <xdr:to>
      <xdr:col>1</xdr:col>
      <xdr:colOff>1154906</xdr:colOff>
      <xdr:row>47</xdr:row>
      <xdr:rowOff>566737</xdr:rowOff>
    </xdr:to>
    <xdr:pic>
      <xdr:nvPicPr>
        <xdr:cNvPr id="212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5756" y="19007137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49214</xdr:colOff>
      <xdr:row>44</xdr:row>
      <xdr:rowOff>101600</xdr:rowOff>
    </xdr:from>
    <xdr:to>
      <xdr:col>1</xdr:col>
      <xdr:colOff>1001714</xdr:colOff>
      <xdr:row>44</xdr:row>
      <xdr:rowOff>539750</xdr:rowOff>
    </xdr:to>
    <xdr:pic>
      <xdr:nvPicPr>
        <xdr:cNvPr id="213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5547" y="17119600"/>
          <a:ext cx="952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26195</xdr:colOff>
      <xdr:row>71</xdr:row>
      <xdr:rowOff>35719</xdr:rowOff>
    </xdr:from>
    <xdr:to>
      <xdr:col>1</xdr:col>
      <xdr:colOff>1035845</xdr:colOff>
      <xdr:row>72</xdr:row>
      <xdr:rowOff>2</xdr:rowOff>
    </xdr:to>
    <xdr:pic>
      <xdr:nvPicPr>
        <xdr:cNvPr id="215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883" y="32476282"/>
          <a:ext cx="1009650" cy="535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70</xdr:row>
      <xdr:rowOff>9525</xdr:rowOff>
    </xdr:from>
    <xdr:to>
      <xdr:col>1</xdr:col>
      <xdr:colOff>1038225</xdr:colOff>
      <xdr:row>71</xdr:row>
      <xdr:rowOff>0</xdr:rowOff>
    </xdr:to>
    <xdr:pic>
      <xdr:nvPicPr>
        <xdr:cNvPr id="217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263" y="31878588"/>
          <a:ext cx="1009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190501</xdr:colOff>
      <xdr:row>20</xdr:row>
      <xdr:rowOff>28575</xdr:rowOff>
    </xdr:from>
    <xdr:to>
      <xdr:col>1</xdr:col>
      <xdr:colOff>876300</xdr:colOff>
      <xdr:row>20</xdr:row>
      <xdr:rowOff>552450</xdr:rowOff>
    </xdr:to>
    <xdr:pic>
      <xdr:nvPicPr>
        <xdr:cNvPr id="219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1" y="3838575"/>
          <a:ext cx="6857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100013</xdr:colOff>
      <xdr:row>29</xdr:row>
      <xdr:rowOff>111919</xdr:rowOff>
    </xdr:from>
    <xdr:to>
      <xdr:col>1</xdr:col>
      <xdr:colOff>1033463</xdr:colOff>
      <xdr:row>29</xdr:row>
      <xdr:rowOff>569119</xdr:rowOff>
    </xdr:to>
    <xdr:pic>
      <xdr:nvPicPr>
        <xdr:cNvPr id="220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5288" y="8922544"/>
          <a:ext cx="933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76993</xdr:colOff>
      <xdr:row>58</xdr:row>
      <xdr:rowOff>59532</xdr:rowOff>
    </xdr:from>
    <xdr:to>
      <xdr:col>1</xdr:col>
      <xdr:colOff>972343</xdr:colOff>
      <xdr:row>58</xdr:row>
      <xdr:rowOff>478632</xdr:rowOff>
    </xdr:to>
    <xdr:pic>
      <xdr:nvPicPr>
        <xdr:cNvPr id="221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26" y="25565365"/>
          <a:ext cx="895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40</xdr:row>
      <xdr:rowOff>9525</xdr:rowOff>
    </xdr:from>
    <xdr:to>
      <xdr:col>2</xdr:col>
      <xdr:colOff>0</xdr:colOff>
      <xdr:row>40</xdr:row>
      <xdr:rowOff>552450</xdr:rowOff>
    </xdr:to>
    <xdr:pic>
      <xdr:nvPicPr>
        <xdr:cNvPr id="222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15106650"/>
          <a:ext cx="914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</xdr:colOff>
      <xdr:row>41</xdr:row>
      <xdr:rowOff>33338</xdr:rowOff>
    </xdr:from>
    <xdr:to>
      <xdr:col>1</xdr:col>
      <xdr:colOff>912962</xdr:colOff>
      <xdr:row>41</xdr:row>
      <xdr:rowOff>497418</xdr:rowOff>
    </xdr:to>
    <xdr:pic>
      <xdr:nvPicPr>
        <xdr:cNvPr id="2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970" y="15696671"/>
          <a:ext cx="765325" cy="46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75</xdr:row>
      <xdr:rowOff>111919</xdr:rowOff>
    </xdr:from>
    <xdr:to>
      <xdr:col>1</xdr:col>
      <xdr:colOff>1009650</xdr:colOff>
      <xdr:row>75</xdr:row>
      <xdr:rowOff>664369</xdr:rowOff>
    </xdr:to>
    <xdr:pic>
      <xdr:nvPicPr>
        <xdr:cNvPr id="22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" y="34992469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85724</xdr:colOff>
      <xdr:row>50</xdr:row>
      <xdr:rowOff>47624</xdr:rowOff>
    </xdr:from>
    <xdr:to>
      <xdr:col>1</xdr:col>
      <xdr:colOff>1038224</xdr:colOff>
      <xdr:row>50</xdr:row>
      <xdr:rowOff>571499</xdr:rowOff>
    </xdr:to>
    <xdr:pic>
      <xdr:nvPicPr>
        <xdr:cNvPr id="226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412" y="20486687"/>
          <a:ext cx="952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140494</xdr:colOff>
      <xdr:row>28</xdr:row>
      <xdr:rowOff>116682</xdr:rowOff>
    </xdr:from>
    <xdr:to>
      <xdr:col>1</xdr:col>
      <xdr:colOff>1112044</xdr:colOff>
      <xdr:row>28</xdr:row>
      <xdr:rowOff>640557</xdr:rowOff>
    </xdr:to>
    <xdr:pic>
      <xdr:nvPicPr>
        <xdr:cNvPr id="228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244" y="8498682"/>
          <a:ext cx="971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216693</xdr:colOff>
      <xdr:row>22</xdr:row>
      <xdr:rowOff>104776</xdr:rowOff>
    </xdr:from>
    <xdr:to>
      <xdr:col>1</xdr:col>
      <xdr:colOff>1035843</xdr:colOff>
      <xdr:row>22</xdr:row>
      <xdr:rowOff>590551</xdr:rowOff>
    </xdr:to>
    <xdr:pic>
      <xdr:nvPicPr>
        <xdr:cNvPr id="234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2443" y="5057776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62</xdr:row>
      <xdr:rowOff>33338</xdr:rowOff>
    </xdr:from>
    <xdr:to>
      <xdr:col>1</xdr:col>
      <xdr:colOff>819150</xdr:colOff>
      <xdr:row>62</xdr:row>
      <xdr:rowOff>550068</xdr:rowOff>
    </xdr:to>
    <xdr:pic>
      <xdr:nvPicPr>
        <xdr:cNvPr id="235" name="Picture 328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9438" y="27330401"/>
          <a:ext cx="533400" cy="51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157162</xdr:colOff>
      <xdr:row>72</xdr:row>
      <xdr:rowOff>27781</xdr:rowOff>
    </xdr:from>
    <xdr:to>
      <xdr:col>1</xdr:col>
      <xdr:colOff>952499</xdr:colOff>
      <xdr:row>72</xdr:row>
      <xdr:rowOff>561180</xdr:rowOff>
    </xdr:to>
    <xdr:pic>
      <xdr:nvPicPr>
        <xdr:cNvPr id="23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850" y="33039844"/>
          <a:ext cx="795337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6879</xdr:colOff>
      <xdr:row>73</xdr:row>
      <xdr:rowOff>35984</xdr:rowOff>
    </xdr:from>
    <xdr:to>
      <xdr:col>1</xdr:col>
      <xdr:colOff>968904</xdr:colOff>
      <xdr:row>73</xdr:row>
      <xdr:rowOff>552715</xdr:rowOff>
    </xdr:to>
    <xdr:pic>
      <xdr:nvPicPr>
        <xdr:cNvPr id="239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3212" y="34114317"/>
          <a:ext cx="962025" cy="51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74</xdr:row>
      <xdr:rowOff>23813</xdr:rowOff>
    </xdr:from>
    <xdr:to>
      <xdr:col>2</xdr:col>
      <xdr:colOff>0</xdr:colOff>
      <xdr:row>74</xdr:row>
      <xdr:rowOff>538163</xdr:rowOff>
    </xdr:to>
    <xdr:pic>
      <xdr:nvPicPr>
        <xdr:cNvPr id="240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" y="34332863"/>
          <a:ext cx="1095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88371</xdr:colOff>
      <xdr:row>46</xdr:row>
      <xdr:rowOff>75406</xdr:rowOff>
    </xdr:from>
    <xdr:to>
      <xdr:col>1</xdr:col>
      <xdr:colOff>1021821</xdr:colOff>
      <xdr:row>46</xdr:row>
      <xdr:rowOff>539749</xdr:rowOff>
    </xdr:to>
    <xdr:pic>
      <xdr:nvPicPr>
        <xdr:cNvPr id="241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4704" y="18236406"/>
          <a:ext cx="933450" cy="464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34395</xdr:colOff>
      <xdr:row>45</xdr:row>
      <xdr:rowOff>13230</xdr:rowOff>
    </xdr:from>
    <xdr:to>
      <xdr:col>2</xdr:col>
      <xdr:colOff>9261</xdr:colOff>
      <xdr:row>45</xdr:row>
      <xdr:rowOff>556155</xdr:rowOff>
    </xdr:to>
    <xdr:pic>
      <xdr:nvPicPr>
        <xdr:cNvPr id="243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728" y="17602730"/>
          <a:ext cx="101203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56</xdr:row>
      <xdr:rowOff>64823</xdr:rowOff>
    </xdr:from>
    <xdr:to>
      <xdr:col>1</xdr:col>
      <xdr:colOff>942975</xdr:colOff>
      <xdr:row>56</xdr:row>
      <xdr:rowOff>588698</xdr:rowOff>
    </xdr:to>
    <xdr:pic>
      <xdr:nvPicPr>
        <xdr:cNvPr id="244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2533" y="24321823"/>
          <a:ext cx="866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63498</xdr:colOff>
      <xdr:row>36</xdr:row>
      <xdr:rowOff>33528</xdr:rowOff>
    </xdr:from>
    <xdr:to>
      <xdr:col>1</xdr:col>
      <xdr:colOff>908843</xdr:colOff>
      <xdr:row>36</xdr:row>
      <xdr:rowOff>539750</xdr:rowOff>
    </xdr:to>
    <xdr:pic>
      <xdr:nvPicPr>
        <xdr:cNvPr id="246" name="Picture 105" descr="подставка-кругл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9831" y="12839361"/>
          <a:ext cx="845345" cy="50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114298</xdr:colOff>
      <xdr:row>25</xdr:row>
      <xdr:rowOff>42345</xdr:rowOff>
    </xdr:from>
    <xdr:to>
      <xdr:col>1</xdr:col>
      <xdr:colOff>914400</xdr:colOff>
      <xdr:row>25</xdr:row>
      <xdr:rowOff>542925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09573" y="6566970"/>
          <a:ext cx="800102" cy="50058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49</xdr:row>
      <xdr:rowOff>67469</xdr:rowOff>
    </xdr:from>
    <xdr:to>
      <xdr:col>1</xdr:col>
      <xdr:colOff>907255</xdr:colOff>
      <xdr:row>49</xdr:row>
      <xdr:rowOff>482707</xdr:rowOff>
    </xdr:to>
    <xdr:pic>
      <xdr:nvPicPr>
        <xdr:cNvPr id="249" name="Picture 318" descr="Рисунок1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038" y="19935032"/>
          <a:ext cx="773905" cy="41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97631</xdr:colOff>
      <xdr:row>55</xdr:row>
      <xdr:rowOff>133431</xdr:rowOff>
    </xdr:from>
    <xdr:to>
      <xdr:col>1</xdr:col>
      <xdr:colOff>1107281</xdr:colOff>
      <xdr:row>55</xdr:row>
      <xdr:rowOff>664368</xdr:rowOff>
    </xdr:to>
    <xdr:pic>
      <xdr:nvPicPr>
        <xdr:cNvPr id="251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3381" y="23583981"/>
          <a:ext cx="1009650" cy="43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161924</xdr:colOff>
      <xdr:row>0</xdr:row>
      <xdr:rowOff>28576</xdr:rowOff>
    </xdr:from>
    <xdr:to>
      <xdr:col>7</xdr:col>
      <xdr:colOff>247650</xdr:colOff>
      <xdr:row>1</xdr:row>
      <xdr:rowOff>180975</xdr:rowOff>
    </xdr:to>
    <xdr:sp macro="" textlink="">
      <xdr:nvSpPr>
        <xdr:cNvPr id="258" name="WordArt 3"/>
        <xdr:cNvSpPr>
          <a:spLocks noChangeArrowheads="1" noChangeShapeType="1" noTextEdit="1"/>
        </xdr:cNvSpPr>
      </xdr:nvSpPr>
      <xdr:spPr bwMode="auto">
        <a:xfrm>
          <a:off x="447674" y="28576"/>
          <a:ext cx="7153276" cy="390524"/>
        </a:xfrm>
        <a:prstGeom prst="rect">
          <a:avLst/>
        </a:prstGeom>
      </xdr:spPr>
      <xdr:txBody>
        <a:bodyPr wrap="none" fromWordArt="1">
          <a:prstTxWarp prst="textDeflateTop">
            <a:avLst>
              <a:gd name="adj" fmla="val 46875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CC"/>
                </a:solidFill>
                <a:round/>
                <a:headEnd/>
                <a:tailEnd/>
              </a:ln>
              <a:solidFill>
                <a:srgbClr val="0000CC"/>
              </a:solidFill>
              <a:effectLst>
                <a:outerShdw dist="99190" dir="18588334" algn="ctr" rotWithShape="0">
                  <a:srgbClr val="868686">
                    <a:alpha val="50000"/>
                  </a:srgbClr>
                </a:outerShdw>
              </a:effectLst>
              <a:latin typeface="Tahoma"/>
              <a:ea typeface="Tahoma"/>
              <a:cs typeface="Tahoma"/>
            </a:rPr>
            <a:t>ООО "С.К. ПЛАСТИКА"</a:t>
          </a:r>
        </a:p>
      </xdr:txBody>
    </xdr:sp>
    <xdr:clientData/>
  </xdr:twoCellAnchor>
  <xdr:twoCellAnchor>
    <xdr:from>
      <xdr:col>5</xdr:col>
      <xdr:colOff>0</xdr:colOff>
      <xdr:row>77</xdr:row>
      <xdr:rowOff>38100</xdr:rowOff>
    </xdr:from>
    <xdr:to>
      <xdr:col>5</xdr:col>
      <xdr:colOff>0</xdr:colOff>
      <xdr:row>77</xdr:row>
      <xdr:rowOff>638175</xdr:rowOff>
    </xdr:to>
    <xdr:pic>
      <xdr:nvPicPr>
        <xdr:cNvPr id="259" name="Picture 330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67350" y="3606165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52</xdr:row>
      <xdr:rowOff>38100</xdr:rowOff>
    </xdr:from>
    <xdr:to>
      <xdr:col>5</xdr:col>
      <xdr:colOff>0</xdr:colOff>
      <xdr:row>53</xdr:row>
      <xdr:rowOff>9525</xdr:rowOff>
    </xdr:to>
    <xdr:pic>
      <xdr:nvPicPr>
        <xdr:cNvPr id="260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67350" y="21774150"/>
          <a:ext cx="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74084</xdr:colOff>
      <xdr:row>32</xdr:row>
      <xdr:rowOff>31751</xdr:rowOff>
    </xdr:from>
    <xdr:to>
      <xdr:col>1</xdr:col>
      <xdr:colOff>899584</xdr:colOff>
      <xdr:row>32</xdr:row>
      <xdr:rowOff>563297</xdr:rowOff>
    </xdr:to>
    <xdr:pic>
      <xdr:nvPicPr>
        <xdr:cNvPr id="26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417" y="10551584"/>
          <a:ext cx="825500" cy="53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128588</xdr:colOff>
      <xdr:row>69</xdr:row>
      <xdr:rowOff>57150</xdr:rowOff>
    </xdr:from>
    <xdr:to>
      <xdr:col>1</xdr:col>
      <xdr:colOff>857250</xdr:colOff>
      <xdr:row>69</xdr:row>
      <xdr:rowOff>523875</xdr:rowOff>
    </xdr:to>
    <xdr:pic>
      <xdr:nvPicPr>
        <xdr:cNvPr id="278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2276" y="31354713"/>
          <a:ext cx="72866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51</xdr:row>
      <xdr:rowOff>57150</xdr:rowOff>
    </xdr:from>
    <xdr:to>
      <xdr:col>1</xdr:col>
      <xdr:colOff>847725</xdr:colOff>
      <xdr:row>51</xdr:row>
      <xdr:rowOff>508000</xdr:rowOff>
    </xdr:to>
    <xdr:pic>
      <xdr:nvPicPr>
        <xdr:cNvPr id="288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563" y="21067713"/>
          <a:ext cx="7048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304801</xdr:colOff>
      <xdr:row>63</xdr:row>
      <xdr:rowOff>26195</xdr:rowOff>
    </xdr:from>
    <xdr:to>
      <xdr:col>1</xdr:col>
      <xdr:colOff>800100</xdr:colOff>
      <xdr:row>63</xdr:row>
      <xdr:rowOff>521494</xdr:rowOff>
    </xdr:to>
    <xdr:pic>
      <xdr:nvPicPr>
        <xdr:cNvPr id="303" name="Picture 328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8489" y="27894758"/>
          <a:ext cx="495299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293687</xdr:colOff>
      <xdr:row>68</xdr:row>
      <xdr:rowOff>47625</xdr:rowOff>
    </xdr:from>
    <xdr:to>
      <xdr:col>1</xdr:col>
      <xdr:colOff>876300</xdr:colOff>
      <xdr:row>68</xdr:row>
      <xdr:rowOff>552450</xdr:rowOff>
    </xdr:to>
    <xdr:pic>
      <xdr:nvPicPr>
        <xdr:cNvPr id="306" name="Picture 2" descr="C:\Documents and Settings\Владелец\Рабочий стол\Мария работа\Фото\Фото продуктов\фото товара мультипласт\ведра, тазы, баки хозяйственные\набор для мытья пола мульти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 bwMode="auto">
        <a:xfrm>
          <a:off x="587375" y="30773688"/>
          <a:ext cx="58261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59533</xdr:colOff>
      <xdr:row>57</xdr:row>
      <xdr:rowOff>42862</xdr:rowOff>
    </xdr:from>
    <xdr:to>
      <xdr:col>1</xdr:col>
      <xdr:colOff>857251</xdr:colOff>
      <xdr:row>57</xdr:row>
      <xdr:rowOff>547687</xdr:rowOff>
    </xdr:to>
    <xdr:pic>
      <xdr:nvPicPr>
        <xdr:cNvPr id="312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221" y="24482425"/>
          <a:ext cx="79771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221454</xdr:colOff>
      <xdr:row>48</xdr:row>
      <xdr:rowOff>50005</xdr:rowOff>
    </xdr:from>
    <xdr:to>
      <xdr:col>1</xdr:col>
      <xdr:colOff>781049</xdr:colOff>
      <xdr:row>48</xdr:row>
      <xdr:rowOff>523875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16729" y="19357180"/>
          <a:ext cx="559595" cy="473870"/>
        </a:xfrm>
        <a:prstGeom prst="rect">
          <a:avLst/>
        </a:prstGeom>
      </xdr:spPr>
    </xdr:pic>
    <xdr:clientData/>
  </xdr:twoCellAnchor>
  <xdr:twoCellAnchor editAs="oneCell">
    <xdr:from>
      <xdr:col>1</xdr:col>
      <xdr:colOff>202405</xdr:colOff>
      <xdr:row>30</xdr:row>
      <xdr:rowOff>30957</xdr:rowOff>
    </xdr:from>
    <xdr:to>
      <xdr:col>1</xdr:col>
      <xdr:colOff>923924</xdr:colOff>
      <xdr:row>30</xdr:row>
      <xdr:rowOff>542925</xdr:rowOff>
    </xdr:to>
    <xdr:pic>
      <xdr:nvPicPr>
        <xdr:cNvPr id="316" name="Рисунок 315" descr="C:\Users\User\Pictures\Крышка для СВЧ.png"/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97680" y="9413082"/>
          <a:ext cx="721519" cy="511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352424</xdr:colOff>
      <xdr:row>0</xdr:row>
      <xdr:rowOff>28575</xdr:rowOff>
    </xdr:from>
    <xdr:to>
      <xdr:col>8</xdr:col>
      <xdr:colOff>0</xdr:colOff>
      <xdr:row>2</xdr:row>
      <xdr:rowOff>142875</xdr:rowOff>
    </xdr:to>
    <xdr:sp macro="" textlink="">
      <xdr:nvSpPr>
        <xdr:cNvPr id="318" name="WordArt 3"/>
        <xdr:cNvSpPr>
          <a:spLocks noChangeArrowheads="1" noChangeShapeType="1" noTextEdit="1"/>
        </xdr:cNvSpPr>
      </xdr:nvSpPr>
      <xdr:spPr bwMode="auto">
        <a:xfrm>
          <a:off x="638174" y="28575"/>
          <a:ext cx="7667626" cy="438150"/>
        </a:xfrm>
        <a:prstGeom prst="rect">
          <a:avLst/>
        </a:prstGeom>
      </xdr:spPr>
      <xdr:txBody>
        <a:bodyPr wrap="none" fromWordArt="1">
          <a:prstTxWarp prst="textDeflateTop">
            <a:avLst>
              <a:gd name="adj" fmla="val 46875"/>
            </a:avLst>
          </a:prstTxWarp>
        </a:bodyPr>
        <a:lstStyle/>
        <a:p>
          <a:pPr algn="ctr" rtl="0"/>
          <a:endParaRPr lang="ru-RU" sz="3600" b="1" kern="10" spc="0">
            <a:ln w="9525">
              <a:solidFill>
                <a:srgbClr val="0000CC"/>
              </a:solidFill>
              <a:round/>
              <a:headEnd/>
              <a:tailEnd/>
            </a:ln>
            <a:solidFill>
              <a:srgbClr val="0000CC"/>
            </a:solidFill>
            <a:effectLst>
              <a:outerShdw dist="99190" dir="18588334" algn="ctr" rotWithShape="0">
                <a:srgbClr val="868686">
                  <a:alpha val="50000"/>
                </a:srgbClr>
              </a:outerShdw>
            </a:effectLst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1</xdr:col>
      <xdr:colOff>47625</xdr:colOff>
      <xdr:row>84</xdr:row>
      <xdr:rowOff>371477</xdr:rowOff>
    </xdr:from>
    <xdr:to>
      <xdr:col>1</xdr:col>
      <xdr:colOff>1000125</xdr:colOff>
      <xdr:row>84</xdr:row>
      <xdr:rowOff>1390650</xdr:rowOff>
    </xdr:to>
    <xdr:pic>
      <xdr:nvPicPr>
        <xdr:cNvPr id="319" name="Рисунок 318" descr="C:\Users\User\Desktop\Работа\Фото из прайса\Кулер\2.bmp"/>
        <xdr:cNvPicPr/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42900" y="39919277"/>
          <a:ext cx="952500" cy="1019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133350</xdr:colOff>
      <xdr:row>16</xdr:row>
      <xdr:rowOff>152399</xdr:rowOff>
    </xdr:from>
    <xdr:to>
      <xdr:col>9</xdr:col>
      <xdr:colOff>638175</xdr:colOff>
      <xdr:row>17</xdr:row>
      <xdr:rowOff>85725</xdr:rowOff>
    </xdr:to>
    <xdr:sp macro="" textlink="">
      <xdr:nvSpPr>
        <xdr:cNvPr id="320" name="Стрелка влево 113"/>
        <xdr:cNvSpPr>
          <a:spLocks noChangeArrowheads="1"/>
        </xdr:cNvSpPr>
      </xdr:nvSpPr>
      <xdr:spPr bwMode="auto">
        <a:xfrm rot="10800000">
          <a:off x="8410575" y="2733674"/>
          <a:ext cx="504825" cy="95251"/>
        </a:xfrm>
        <a:prstGeom prst="leftArrow">
          <a:avLst>
            <a:gd name="adj1" fmla="val 50000"/>
            <a:gd name="adj2" fmla="val 74355"/>
          </a:avLst>
        </a:prstGeom>
        <a:solidFill>
          <a:srgbClr val="FFFF00"/>
        </a:solidFill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</xdr:sp>
    <xdr:clientData/>
  </xdr:twoCellAnchor>
  <xdr:twoCellAnchor editAs="oneCell">
    <xdr:from>
      <xdr:col>1</xdr:col>
      <xdr:colOff>177799</xdr:colOff>
      <xdr:row>83</xdr:row>
      <xdr:rowOff>37701</xdr:rowOff>
    </xdr:from>
    <xdr:to>
      <xdr:col>1</xdr:col>
      <xdr:colOff>828674</xdr:colOff>
      <xdr:row>83</xdr:row>
      <xdr:rowOff>549279</xdr:rowOff>
    </xdr:to>
    <xdr:pic>
      <xdr:nvPicPr>
        <xdr:cNvPr id="321" name="Рисунок 320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542723" y="39096752"/>
          <a:ext cx="511578" cy="65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265640</xdr:colOff>
      <xdr:row>82</xdr:row>
      <xdr:rowOff>79375</xdr:rowOff>
    </xdr:from>
    <xdr:to>
      <xdr:col>1</xdr:col>
      <xdr:colOff>825499</xdr:colOff>
      <xdr:row>82</xdr:row>
      <xdr:rowOff>560917</xdr:rowOff>
    </xdr:to>
    <xdr:pic>
      <xdr:nvPicPr>
        <xdr:cNvPr id="322" name="Рисунок 321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59328" y="38417500"/>
          <a:ext cx="559859" cy="481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77</xdr:row>
      <xdr:rowOff>15874</xdr:rowOff>
    </xdr:from>
    <xdr:to>
      <xdr:col>2</xdr:col>
      <xdr:colOff>0</xdr:colOff>
      <xdr:row>77</xdr:row>
      <xdr:rowOff>563561</xdr:rowOff>
    </xdr:to>
    <xdr:pic>
      <xdr:nvPicPr>
        <xdr:cNvPr id="124" name="Рисунок 123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9563" y="35885437"/>
          <a:ext cx="10160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79</xdr:row>
      <xdr:rowOff>47624</xdr:rowOff>
    </xdr:from>
    <xdr:to>
      <xdr:col>1</xdr:col>
      <xdr:colOff>936625</xdr:colOff>
      <xdr:row>79</xdr:row>
      <xdr:rowOff>539749</xdr:rowOff>
    </xdr:to>
    <xdr:pic>
      <xdr:nvPicPr>
        <xdr:cNvPr id="127" name="Рисунок 126" descr="C:\Users\User\AppData\Local\Microsoft\Windows\Temporary Internet Files\Content.Word\Новый рисунок (1).bmp"/>
        <xdr:cNvPicPr/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7188" y="37060187"/>
          <a:ext cx="87312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79374</xdr:colOff>
      <xdr:row>78</xdr:row>
      <xdr:rowOff>47625</xdr:rowOff>
    </xdr:from>
    <xdr:to>
      <xdr:col>1</xdr:col>
      <xdr:colOff>984249</xdr:colOff>
      <xdr:row>78</xdr:row>
      <xdr:rowOff>531811</xdr:rowOff>
    </xdr:to>
    <xdr:pic>
      <xdr:nvPicPr>
        <xdr:cNvPr id="128" name="Рисунок 127" descr="C:\Users\User\AppData\Local\Microsoft\Windows\Temporary Internet Files\Content.Word\Новый рисунок.png"/>
        <xdr:cNvPicPr/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73062" y="36488688"/>
          <a:ext cx="904875" cy="48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103187</xdr:colOff>
      <xdr:row>80</xdr:row>
      <xdr:rowOff>15875</xdr:rowOff>
    </xdr:from>
    <xdr:to>
      <xdr:col>1</xdr:col>
      <xdr:colOff>960437</xdr:colOff>
      <xdr:row>80</xdr:row>
      <xdr:rowOff>547687</xdr:rowOff>
    </xdr:to>
    <xdr:pic>
      <xdr:nvPicPr>
        <xdr:cNvPr id="129" name="Рисунок 128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96875" y="37599938"/>
          <a:ext cx="857250" cy="531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158750</xdr:colOff>
      <xdr:row>42</xdr:row>
      <xdr:rowOff>21167</xdr:rowOff>
    </xdr:from>
    <xdr:to>
      <xdr:col>1</xdr:col>
      <xdr:colOff>880889</xdr:colOff>
      <xdr:row>42</xdr:row>
      <xdr:rowOff>516467</xdr:rowOff>
    </xdr:to>
    <xdr:pic>
      <xdr:nvPicPr>
        <xdr:cNvPr id="130" name="Рисунок 129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55083" y="16256000"/>
          <a:ext cx="72213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317500</xdr:colOff>
      <xdr:row>31</xdr:row>
      <xdr:rowOff>31750</xdr:rowOff>
    </xdr:from>
    <xdr:to>
      <xdr:col>1</xdr:col>
      <xdr:colOff>834565</xdr:colOff>
      <xdr:row>31</xdr:row>
      <xdr:rowOff>565150</xdr:rowOff>
    </xdr:to>
    <xdr:pic>
      <xdr:nvPicPr>
        <xdr:cNvPr id="72" name="Рисунок 71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flipH="1">
          <a:off x="613833" y="9980083"/>
          <a:ext cx="51706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31750</xdr:colOff>
      <xdr:row>33</xdr:row>
      <xdr:rowOff>21167</xdr:rowOff>
    </xdr:from>
    <xdr:to>
      <xdr:col>1</xdr:col>
      <xdr:colOff>1026584</xdr:colOff>
      <xdr:row>33</xdr:row>
      <xdr:rowOff>550334</xdr:rowOff>
    </xdr:to>
    <xdr:pic>
      <xdr:nvPicPr>
        <xdr:cNvPr id="74" name="Рисунок 73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28083" y="11112500"/>
          <a:ext cx="994834" cy="529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21166</xdr:colOff>
      <xdr:row>34</xdr:row>
      <xdr:rowOff>10584</xdr:rowOff>
    </xdr:from>
    <xdr:to>
      <xdr:col>1</xdr:col>
      <xdr:colOff>981075</xdr:colOff>
      <xdr:row>35</xdr:row>
      <xdr:rowOff>1</xdr:rowOff>
    </xdr:to>
    <xdr:pic>
      <xdr:nvPicPr>
        <xdr:cNvPr id="73" name="Рисунок 72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16441" y="11678709"/>
          <a:ext cx="959909" cy="560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285749</xdr:colOff>
      <xdr:row>59</xdr:row>
      <xdr:rowOff>31750</xdr:rowOff>
    </xdr:from>
    <xdr:to>
      <xdr:col>1</xdr:col>
      <xdr:colOff>783166</xdr:colOff>
      <xdr:row>59</xdr:row>
      <xdr:rowOff>550334</xdr:rowOff>
    </xdr:to>
    <xdr:pic>
      <xdr:nvPicPr>
        <xdr:cNvPr id="76" name="Рисунок 75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82082" y="26109083"/>
          <a:ext cx="497417" cy="518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275166</xdr:colOff>
      <xdr:row>60</xdr:row>
      <xdr:rowOff>31750</xdr:rowOff>
    </xdr:from>
    <xdr:to>
      <xdr:col>1</xdr:col>
      <xdr:colOff>764116</xdr:colOff>
      <xdr:row>60</xdr:row>
      <xdr:rowOff>539749</xdr:rowOff>
    </xdr:to>
    <xdr:pic>
      <xdr:nvPicPr>
        <xdr:cNvPr id="77" name="Рисунок 76" descr="C:\Users\User\AppData\Local\Microsoft\Windows\Temporary Internet Files\Content.Word\Новый рисунок (1).bmp"/>
        <xdr:cNvPicPr/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499" y="26680583"/>
          <a:ext cx="488950" cy="507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222250</xdr:colOff>
      <xdr:row>61</xdr:row>
      <xdr:rowOff>21167</xdr:rowOff>
    </xdr:from>
    <xdr:to>
      <xdr:col>1</xdr:col>
      <xdr:colOff>814917</xdr:colOff>
      <xdr:row>61</xdr:row>
      <xdr:rowOff>560917</xdr:rowOff>
    </xdr:to>
    <xdr:pic>
      <xdr:nvPicPr>
        <xdr:cNvPr id="78" name="Рисунок 77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8583" y="27241500"/>
          <a:ext cx="592667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65</xdr:row>
      <xdr:rowOff>21167</xdr:rowOff>
    </xdr:from>
    <xdr:to>
      <xdr:col>1</xdr:col>
      <xdr:colOff>771525</xdr:colOff>
      <xdr:row>65</xdr:row>
      <xdr:rowOff>520017</xdr:rowOff>
    </xdr:to>
    <xdr:pic>
      <xdr:nvPicPr>
        <xdr:cNvPr id="79" name="Рисунок 78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82083" y="29527500"/>
          <a:ext cx="485775" cy="49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116417</xdr:colOff>
      <xdr:row>52</xdr:row>
      <xdr:rowOff>21167</xdr:rowOff>
    </xdr:from>
    <xdr:to>
      <xdr:col>1</xdr:col>
      <xdr:colOff>867834</xdr:colOff>
      <xdr:row>52</xdr:row>
      <xdr:rowOff>476250</xdr:rowOff>
    </xdr:to>
    <xdr:pic>
      <xdr:nvPicPr>
        <xdr:cNvPr id="80" name="Рисунок 79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12750" y="21854584"/>
          <a:ext cx="751417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74083</xdr:colOff>
      <xdr:row>53</xdr:row>
      <xdr:rowOff>31750</xdr:rowOff>
    </xdr:from>
    <xdr:to>
      <xdr:col>1</xdr:col>
      <xdr:colOff>931333</xdr:colOff>
      <xdr:row>54</xdr:row>
      <xdr:rowOff>3175</xdr:rowOff>
    </xdr:to>
    <xdr:pic>
      <xdr:nvPicPr>
        <xdr:cNvPr id="81" name="Рисунок 80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70416" y="22436667"/>
          <a:ext cx="857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31751</xdr:colOff>
      <xdr:row>54</xdr:row>
      <xdr:rowOff>74083</xdr:rowOff>
    </xdr:from>
    <xdr:to>
      <xdr:col>1</xdr:col>
      <xdr:colOff>963085</xdr:colOff>
      <xdr:row>54</xdr:row>
      <xdr:rowOff>508001</xdr:rowOff>
    </xdr:to>
    <xdr:pic>
      <xdr:nvPicPr>
        <xdr:cNvPr id="82" name="Рисунок 81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28084" y="23050500"/>
          <a:ext cx="931334" cy="433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158752</xdr:colOff>
      <xdr:row>21</xdr:row>
      <xdr:rowOff>31748</xdr:rowOff>
    </xdr:from>
    <xdr:to>
      <xdr:col>1</xdr:col>
      <xdr:colOff>889000</xdr:colOff>
      <xdr:row>21</xdr:row>
      <xdr:rowOff>550333</xdr:rowOff>
    </xdr:to>
    <xdr:pic>
      <xdr:nvPicPr>
        <xdr:cNvPr id="75" name="Рисунок 74" descr="C:\Users\User\Desktop\Доски.jpg"/>
        <xdr:cNvPicPr/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55085" y="4265081"/>
          <a:ext cx="730248" cy="51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116417</xdr:colOff>
      <xdr:row>37</xdr:row>
      <xdr:rowOff>10585</xdr:rowOff>
    </xdr:from>
    <xdr:to>
      <xdr:col>1</xdr:col>
      <xdr:colOff>740834</xdr:colOff>
      <xdr:row>37</xdr:row>
      <xdr:rowOff>539750</xdr:rowOff>
    </xdr:to>
    <xdr:pic>
      <xdr:nvPicPr>
        <xdr:cNvPr id="84" name="Рисунок 83" descr="C:\Users\User\Pictures\Салфетница Ракушка.bmp"/>
        <xdr:cNvPicPr/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12750" y="13387918"/>
          <a:ext cx="624417" cy="529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254000</xdr:colOff>
      <xdr:row>39</xdr:row>
      <xdr:rowOff>21167</xdr:rowOff>
    </xdr:from>
    <xdr:to>
      <xdr:col>1</xdr:col>
      <xdr:colOff>787843</xdr:colOff>
      <xdr:row>39</xdr:row>
      <xdr:rowOff>559252</xdr:rowOff>
    </xdr:to>
    <xdr:pic>
      <xdr:nvPicPr>
        <xdr:cNvPr id="85" name="Рисунок 84" descr="C:\Users\User\AppData\Local\Microsoft\Windows\Temporary Internet Files\Content.Word\Новый рисунок.bmp"/>
        <xdr:cNvPicPr/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50333" y="14541500"/>
          <a:ext cx="533843" cy="53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158751</xdr:colOff>
      <xdr:row>26</xdr:row>
      <xdr:rowOff>42333</xdr:rowOff>
    </xdr:from>
    <xdr:to>
      <xdr:col>1</xdr:col>
      <xdr:colOff>862715</xdr:colOff>
      <xdr:row>26</xdr:row>
      <xdr:rowOff>539750</xdr:rowOff>
    </xdr:to>
    <xdr:pic>
      <xdr:nvPicPr>
        <xdr:cNvPr id="88" name="Рисунок 87" descr="C:\Users\User\Pictures\Крышка на банку микс.bmp"/>
        <xdr:cNvPicPr/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55084" y="7133166"/>
          <a:ext cx="703964" cy="497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137583</xdr:colOff>
      <xdr:row>27</xdr:row>
      <xdr:rowOff>31750</xdr:rowOff>
    </xdr:from>
    <xdr:to>
      <xdr:col>1</xdr:col>
      <xdr:colOff>841547</xdr:colOff>
      <xdr:row>27</xdr:row>
      <xdr:rowOff>529167</xdr:rowOff>
    </xdr:to>
    <xdr:pic>
      <xdr:nvPicPr>
        <xdr:cNvPr id="89" name="Рисунок 88" descr="C:\Users\User\Pictures\Крышка на банку микс.bmp"/>
        <xdr:cNvPicPr/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33916" y="7694083"/>
          <a:ext cx="703964" cy="497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28</xdr:row>
      <xdr:rowOff>388</xdr:rowOff>
    </xdr:from>
    <xdr:to>
      <xdr:col>5</xdr:col>
      <xdr:colOff>764527</xdr:colOff>
      <xdr:row>28</xdr:row>
      <xdr:rowOff>114300</xdr:rowOff>
    </xdr:to>
    <xdr:sp macro="" textlink="">
      <xdr:nvSpPr>
        <xdr:cNvPr id="2" name="Стрелка влево 113"/>
        <xdr:cNvSpPr>
          <a:spLocks noChangeArrowheads="1"/>
        </xdr:cNvSpPr>
      </xdr:nvSpPr>
      <xdr:spPr bwMode="auto">
        <a:xfrm rot="10800000">
          <a:off x="4772025" y="5982088"/>
          <a:ext cx="716902" cy="113912"/>
        </a:xfrm>
        <a:prstGeom prst="leftArrow">
          <a:avLst>
            <a:gd name="adj1" fmla="val 50000"/>
            <a:gd name="adj2" fmla="val 74355"/>
          </a:avLst>
        </a:prstGeom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</xdr:sp>
    <xdr:clientData/>
  </xdr:twoCellAnchor>
  <xdr:twoCellAnchor editAs="oneCell">
    <xdr:from>
      <xdr:col>0</xdr:col>
      <xdr:colOff>173504</xdr:colOff>
      <xdr:row>35</xdr:row>
      <xdr:rowOff>37235</xdr:rowOff>
    </xdr:from>
    <xdr:to>
      <xdr:col>0</xdr:col>
      <xdr:colOff>574493</xdr:colOff>
      <xdr:row>35</xdr:row>
      <xdr:rowOff>637733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160" b="4253"/>
        <a:stretch/>
      </xdr:blipFill>
      <xdr:spPr>
        <a:xfrm>
          <a:off x="173504" y="10076585"/>
          <a:ext cx="400989" cy="600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181730</xdr:colOff>
      <xdr:row>34</xdr:row>
      <xdr:rowOff>45029</xdr:rowOff>
    </xdr:from>
    <xdr:to>
      <xdr:col>0</xdr:col>
      <xdr:colOff>576933</xdr:colOff>
      <xdr:row>34</xdr:row>
      <xdr:rowOff>608259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100" b="4393"/>
        <a:stretch/>
      </xdr:blipFill>
      <xdr:spPr>
        <a:xfrm>
          <a:off x="181730" y="9389054"/>
          <a:ext cx="395203" cy="563230"/>
        </a:xfrm>
        <a:prstGeom prst="rect">
          <a:avLst/>
        </a:prstGeom>
      </xdr:spPr>
    </xdr:pic>
    <xdr:clientData/>
  </xdr:twoCellAnchor>
  <xdr:twoCellAnchor editAs="oneCell">
    <xdr:from>
      <xdr:col>0</xdr:col>
      <xdr:colOff>166415</xdr:colOff>
      <xdr:row>33</xdr:row>
      <xdr:rowOff>77067</xdr:rowOff>
    </xdr:from>
    <xdr:to>
      <xdr:col>0</xdr:col>
      <xdr:colOff>561863</xdr:colOff>
      <xdr:row>33</xdr:row>
      <xdr:rowOff>598935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075" b="4498"/>
        <a:stretch/>
      </xdr:blipFill>
      <xdr:spPr>
        <a:xfrm>
          <a:off x="166415" y="8725767"/>
          <a:ext cx="395448" cy="521868"/>
        </a:xfrm>
        <a:prstGeom prst="rect">
          <a:avLst/>
        </a:prstGeom>
      </xdr:spPr>
    </xdr:pic>
    <xdr:clientData/>
  </xdr:twoCellAnchor>
  <xdr:twoCellAnchor editAs="oneCell">
    <xdr:from>
      <xdr:col>0</xdr:col>
      <xdr:colOff>118166</xdr:colOff>
      <xdr:row>36</xdr:row>
      <xdr:rowOff>45028</xdr:rowOff>
    </xdr:from>
    <xdr:to>
      <xdr:col>0</xdr:col>
      <xdr:colOff>532214</xdr:colOff>
      <xdr:row>36</xdr:row>
      <xdr:rowOff>608258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755" b="7484"/>
        <a:stretch/>
      </xdr:blipFill>
      <xdr:spPr>
        <a:xfrm flipH="1">
          <a:off x="118166" y="10779703"/>
          <a:ext cx="414048" cy="563230"/>
        </a:xfrm>
        <a:prstGeom prst="rect">
          <a:avLst/>
        </a:prstGeom>
      </xdr:spPr>
    </xdr:pic>
    <xdr:clientData/>
  </xdr:twoCellAnchor>
  <xdr:twoCellAnchor editAs="oneCell">
    <xdr:from>
      <xdr:col>0</xdr:col>
      <xdr:colOff>96114</xdr:colOff>
      <xdr:row>38</xdr:row>
      <xdr:rowOff>38147</xdr:rowOff>
    </xdr:from>
    <xdr:to>
      <xdr:col>0</xdr:col>
      <xdr:colOff>495281</xdr:colOff>
      <xdr:row>38</xdr:row>
      <xdr:rowOff>619125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206" b="5127"/>
        <a:stretch/>
      </xdr:blipFill>
      <xdr:spPr>
        <a:xfrm>
          <a:off x="96114" y="12163472"/>
          <a:ext cx="399167" cy="580978"/>
        </a:xfrm>
        <a:prstGeom prst="rect">
          <a:avLst/>
        </a:prstGeom>
      </xdr:spPr>
    </xdr:pic>
    <xdr:clientData/>
  </xdr:twoCellAnchor>
  <xdr:twoCellAnchor editAs="oneCell">
    <xdr:from>
      <xdr:col>0</xdr:col>
      <xdr:colOff>104169</xdr:colOff>
      <xdr:row>39</xdr:row>
      <xdr:rowOff>51218</xdr:rowOff>
    </xdr:from>
    <xdr:to>
      <xdr:col>0</xdr:col>
      <xdr:colOff>493139</xdr:colOff>
      <xdr:row>39</xdr:row>
      <xdr:rowOff>608023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" b="3492"/>
        <a:stretch/>
      </xdr:blipFill>
      <xdr:spPr>
        <a:xfrm>
          <a:off x="104169" y="12871868"/>
          <a:ext cx="388970" cy="556805"/>
        </a:xfrm>
        <a:prstGeom prst="rect">
          <a:avLst/>
        </a:prstGeom>
      </xdr:spPr>
    </xdr:pic>
    <xdr:clientData/>
  </xdr:twoCellAnchor>
  <xdr:twoCellAnchor editAs="oneCell">
    <xdr:from>
      <xdr:col>0</xdr:col>
      <xdr:colOff>108356</xdr:colOff>
      <xdr:row>40</xdr:row>
      <xdr:rowOff>49485</xdr:rowOff>
    </xdr:from>
    <xdr:to>
      <xdr:col>0</xdr:col>
      <xdr:colOff>487762</xdr:colOff>
      <xdr:row>40</xdr:row>
      <xdr:rowOff>612674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56" y="13565460"/>
          <a:ext cx="379406" cy="563189"/>
        </a:xfrm>
        <a:prstGeom prst="rect">
          <a:avLst/>
        </a:prstGeom>
      </xdr:spPr>
    </xdr:pic>
    <xdr:clientData/>
  </xdr:twoCellAnchor>
  <xdr:twoCellAnchor editAs="oneCell">
    <xdr:from>
      <xdr:col>0</xdr:col>
      <xdr:colOff>110326</xdr:colOff>
      <xdr:row>41</xdr:row>
      <xdr:rowOff>38228</xdr:rowOff>
    </xdr:from>
    <xdr:to>
      <xdr:col>0</xdr:col>
      <xdr:colOff>494400</xdr:colOff>
      <xdr:row>41</xdr:row>
      <xdr:rowOff>628769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6" y="14249528"/>
          <a:ext cx="384074" cy="590541"/>
        </a:xfrm>
        <a:prstGeom prst="rect">
          <a:avLst/>
        </a:prstGeom>
      </xdr:spPr>
    </xdr:pic>
    <xdr:clientData/>
  </xdr:twoCellAnchor>
  <xdr:twoCellAnchor editAs="oneCell">
    <xdr:from>
      <xdr:col>0</xdr:col>
      <xdr:colOff>120747</xdr:colOff>
      <xdr:row>44</xdr:row>
      <xdr:rowOff>38355</xdr:rowOff>
    </xdr:from>
    <xdr:to>
      <xdr:col>0</xdr:col>
      <xdr:colOff>500154</xdr:colOff>
      <xdr:row>44</xdr:row>
      <xdr:rowOff>638765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7" y="16335630"/>
          <a:ext cx="379407" cy="60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100848</xdr:colOff>
      <xdr:row>45</xdr:row>
      <xdr:rowOff>62602</xdr:rowOff>
    </xdr:from>
    <xdr:to>
      <xdr:col>0</xdr:col>
      <xdr:colOff>490468</xdr:colOff>
      <xdr:row>45</xdr:row>
      <xdr:rowOff>562358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738" b="2784"/>
        <a:stretch/>
      </xdr:blipFill>
      <xdr:spPr>
        <a:xfrm>
          <a:off x="100848" y="17055202"/>
          <a:ext cx="389620" cy="499756"/>
        </a:xfrm>
        <a:prstGeom prst="rect">
          <a:avLst/>
        </a:prstGeom>
      </xdr:spPr>
    </xdr:pic>
    <xdr:clientData/>
  </xdr:twoCellAnchor>
  <xdr:twoCellAnchor editAs="oneCell">
    <xdr:from>
      <xdr:col>0</xdr:col>
      <xdr:colOff>107532</xdr:colOff>
      <xdr:row>43</xdr:row>
      <xdr:rowOff>47881</xdr:rowOff>
    </xdr:from>
    <xdr:to>
      <xdr:col>0</xdr:col>
      <xdr:colOff>494892</xdr:colOff>
      <xdr:row>43</xdr:row>
      <xdr:rowOff>613918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73" b="3872"/>
        <a:stretch/>
      </xdr:blipFill>
      <xdr:spPr>
        <a:xfrm>
          <a:off x="107532" y="15649831"/>
          <a:ext cx="387360" cy="566037"/>
        </a:xfrm>
        <a:prstGeom prst="rect">
          <a:avLst/>
        </a:prstGeom>
      </xdr:spPr>
    </xdr:pic>
    <xdr:clientData/>
  </xdr:twoCellAnchor>
  <xdr:twoCellAnchor editAs="oneCell">
    <xdr:from>
      <xdr:col>0</xdr:col>
      <xdr:colOff>104856</xdr:colOff>
      <xdr:row>42</xdr:row>
      <xdr:rowOff>43554</xdr:rowOff>
    </xdr:from>
    <xdr:to>
      <xdr:col>0</xdr:col>
      <xdr:colOff>507685</xdr:colOff>
      <xdr:row>42</xdr:row>
      <xdr:rowOff>601445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790" b="6003"/>
        <a:stretch/>
      </xdr:blipFill>
      <xdr:spPr>
        <a:xfrm>
          <a:off x="104856" y="14950179"/>
          <a:ext cx="402829" cy="5578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</xdr:row>
      <xdr:rowOff>29959</xdr:rowOff>
    </xdr:from>
    <xdr:to>
      <xdr:col>0</xdr:col>
      <xdr:colOff>474940</xdr:colOff>
      <xdr:row>48</xdr:row>
      <xdr:rowOff>619124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349" b="4969"/>
        <a:stretch/>
      </xdr:blipFill>
      <xdr:spPr>
        <a:xfrm>
          <a:off x="47625" y="19108534"/>
          <a:ext cx="427315" cy="589165"/>
        </a:xfrm>
        <a:prstGeom prst="rect">
          <a:avLst/>
        </a:prstGeom>
      </xdr:spPr>
    </xdr:pic>
    <xdr:clientData/>
  </xdr:twoCellAnchor>
  <xdr:twoCellAnchor editAs="oneCell">
    <xdr:from>
      <xdr:col>0</xdr:col>
      <xdr:colOff>104935</xdr:colOff>
      <xdr:row>47</xdr:row>
      <xdr:rowOff>53275</xdr:rowOff>
    </xdr:from>
    <xdr:to>
      <xdr:col>0</xdr:col>
      <xdr:colOff>491702</xdr:colOff>
      <xdr:row>47</xdr:row>
      <xdr:rowOff>581024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3247"/>
        <a:stretch/>
      </xdr:blipFill>
      <xdr:spPr>
        <a:xfrm>
          <a:off x="104935" y="18436525"/>
          <a:ext cx="386767" cy="527749"/>
        </a:xfrm>
        <a:prstGeom prst="rect">
          <a:avLst/>
        </a:prstGeom>
      </xdr:spPr>
    </xdr:pic>
    <xdr:clientData/>
  </xdr:twoCellAnchor>
  <xdr:twoCellAnchor editAs="oneCell">
    <xdr:from>
      <xdr:col>0</xdr:col>
      <xdr:colOff>42513</xdr:colOff>
      <xdr:row>49</xdr:row>
      <xdr:rowOff>43003</xdr:rowOff>
    </xdr:from>
    <xdr:to>
      <xdr:col>0</xdr:col>
      <xdr:colOff>421181</xdr:colOff>
      <xdr:row>49</xdr:row>
      <xdr:rowOff>584292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3" y="19816903"/>
          <a:ext cx="378668" cy="541289"/>
        </a:xfrm>
        <a:prstGeom prst="rect">
          <a:avLst/>
        </a:prstGeom>
      </xdr:spPr>
    </xdr:pic>
    <xdr:clientData/>
  </xdr:twoCellAnchor>
  <xdr:twoCellAnchor editAs="oneCell">
    <xdr:from>
      <xdr:col>0</xdr:col>
      <xdr:colOff>119353</xdr:colOff>
      <xdr:row>50</xdr:row>
      <xdr:rowOff>34905</xdr:rowOff>
    </xdr:from>
    <xdr:to>
      <xdr:col>0</xdr:col>
      <xdr:colOff>503640</xdr:colOff>
      <xdr:row>50</xdr:row>
      <xdr:rowOff>583715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269" b="-1"/>
        <a:stretch/>
      </xdr:blipFill>
      <xdr:spPr>
        <a:xfrm>
          <a:off x="119353" y="20504130"/>
          <a:ext cx="384287" cy="548810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107043</xdr:colOff>
      <xdr:row>51</xdr:row>
      <xdr:rowOff>58538</xdr:rowOff>
    </xdr:from>
    <xdr:to>
      <xdr:col>0</xdr:col>
      <xdr:colOff>502513</xdr:colOff>
      <xdr:row>51</xdr:row>
      <xdr:rowOff>542165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009" b="5516"/>
        <a:stretch/>
      </xdr:blipFill>
      <xdr:spPr>
        <a:xfrm>
          <a:off x="107043" y="21223088"/>
          <a:ext cx="395470" cy="4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112972</xdr:colOff>
      <xdr:row>52</xdr:row>
      <xdr:rowOff>87726</xdr:rowOff>
    </xdr:from>
    <xdr:to>
      <xdr:col>0</xdr:col>
      <xdr:colOff>575014</xdr:colOff>
      <xdr:row>52</xdr:row>
      <xdr:rowOff>590550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911" b="6026"/>
        <a:stretch/>
      </xdr:blipFill>
      <xdr:spPr>
        <a:xfrm>
          <a:off x="112972" y="21947601"/>
          <a:ext cx="462042" cy="502824"/>
        </a:xfrm>
        <a:prstGeom prst="rect">
          <a:avLst/>
        </a:prstGeom>
      </xdr:spPr>
    </xdr:pic>
    <xdr:clientData/>
  </xdr:twoCellAnchor>
  <xdr:twoCellAnchor editAs="oneCell">
    <xdr:from>
      <xdr:col>0</xdr:col>
      <xdr:colOff>165515</xdr:colOff>
      <xdr:row>53</xdr:row>
      <xdr:rowOff>75186</xdr:rowOff>
    </xdr:from>
    <xdr:to>
      <xdr:col>0</xdr:col>
      <xdr:colOff>557242</xdr:colOff>
      <xdr:row>53</xdr:row>
      <xdr:rowOff>590550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3206"/>
        <a:stretch/>
      </xdr:blipFill>
      <xdr:spPr>
        <a:xfrm>
          <a:off x="165515" y="22630386"/>
          <a:ext cx="391727" cy="515364"/>
        </a:xfrm>
        <a:prstGeom prst="rect">
          <a:avLst/>
        </a:prstGeom>
      </xdr:spPr>
    </xdr:pic>
    <xdr:clientData/>
  </xdr:twoCellAnchor>
  <xdr:twoCellAnchor editAs="oneCell">
    <xdr:from>
      <xdr:col>0</xdr:col>
      <xdr:colOff>179318</xdr:colOff>
      <xdr:row>54</xdr:row>
      <xdr:rowOff>19051</xdr:rowOff>
    </xdr:from>
    <xdr:to>
      <xdr:col>0</xdr:col>
      <xdr:colOff>573609</xdr:colOff>
      <xdr:row>54</xdr:row>
      <xdr:rowOff>513813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4458"/>
        <a:stretch/>
      </xdr:blipFill>
      <xdr:spPr>
        <a:xfrm>
          <a:off x="179318" y="23269576"/>
          <a:ext cx="394291" cy="49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170118</xdr:colOff>
      <xdr:row>55</xdr:row>
      <xdr:rowOff>57550</xdr:rowOff>
    </xdr:from>
    <xdr:to>
      <xdr:col>0</xdr:col>
      <xdr:colOff>574827</xdr:colOff>
      <xdr:row>55</xdr:row>
      <xdr:rowOff>552422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47" b="5275"/>
        <a:stretch/>
      </xdr:blipFill>
      <xdr:spPr>
        <a:xfrm>
          <a:off x="170118" y="24003400"/>
          <a:ext cx="404709" cy="494872"/>
        </a:xfrm>
        <a:prstGeom prst="rect">
          <a:avLst/>
        </a:prstGeom>
      </xdr:spPr>
    </xdr:pic>
    <xdr:clientData/>
  </xdr:twoCellAnchor>
  <xdr:twoCellAnchor editAs="oneCell">
    <xdr:from>
      <xdr:col>0</xdr:col>
      <xdr:colOff>166406</xdr:colOff>
      <xdr:row>56</xdr:row>
      <xdr:rowOff>53407</xdr:rowOff>
    </xdr:from>
    <xdr:to>
      <xdr:col>0</xdr:col>
      <xdr:colOff>559832</xdr:colOff>
      <xdr:row>56</xdr:row>
      <xdr:rowOff>548911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389" b="5988"/>
        <a:stretch/>
      </xdr:blipFill>
      <xdr:spPr>
        <a:xfrm>
          <a:off x="166406" y="24694582"/>
          <a:ext cx="393426" cy="495504"/>
        </a:xfrm>
        <a:prstGeom prst="rect">
          <a:avLst/>
        </a:prstGeom>
      </xdr:spPr>
    </xdr:pic>
    <xdr:clientData/>
  </xdr:twoCellAnchor>
  <xdr:twoCellAnchor editAs="oneCell">
    <xdr:from>
      <xdr:col>0</xdr:col>
      <xdr:colOff>170118</xdr:colOff>
      <xdr:row>59</xdr:row>
      <xdr:rowOff>57149</xdr:rowOff>
    </xdr:from>
    <xdr:to>
      <xdr:col>0</xdr:col>
      <xdr:colOff>572883</xdr:colOff>
      <xdr:row>59</xdr:row>
      <xdr:rowOff>581024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3739" t="5389" r="3739" b="4791"/>
        <a:stretch/>
      </xdr:blipFill>
      <xdr:spPr>
        <a:xfrm>
          <a:off x="170118" y="26784299"/>
          <a:ext cx="402765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162052</xdr:colOff>
      <xdr:row>57</xdr:row>
      <xdr:rowOff>76200</xdr:rowOff>
    </xdr:from>
    <xdr:to>
      <xdr:col>0</xdr:col>
      <xdr:colOff>574202</xdr:colOff>
      <xdr:row>57</xdr:row>
      <xdr:rowOff>552813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6251" b="7570"/>
        <a:stretch/>
      </xdr:blipFill>
      <xdr:spPr>
        <a:xfrm>
          <a:off x="162052" y="25412700"/>
          <a:ext cx="412150" cy="476613"/>
        </a:xfrm>
        <a:prstGeom prst="rect">
          <a:avLst/>
        </a:prstGeom>
      </xdr:spPr>
    </xdr:pic>
    <xdr:clientData/>
  </xdr:twoCellAnchor>
  <xdr:twoCellAnchor editAs="oneCell">
    <xdr:from>
      <xdr:col>0</xdr:col>
      <xdr:colOff>162245</xdr:colOff>
      <xdr:row>58</xdr:row>
      <xdr:rowOff>53409</xdr:rowOff>
    </xdr:from>
    <xdr:to>
      <xdr:col>0</xdr:col>
      <xdr:colOff>569968</xdr:colOff>
      <xdr:row>58</xdr:row>
      <xdr:rowOff>571500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6358" b="7514"/>
        <a:stretch/>
      </xdr:blipFill>
      <xdr:spPr>
        <a:xfrm>
          <a:off x="162245" y="26085234"/>
          <a:ext cx="407723" cy="518091"/>
        </a:xfrm>
        <a:prstGeom prst="rect">
          <a:avLst/>
        </a:prstGeom>
      </xdr:spPr>
    </xdr:pic>
    <xdr:clientData/>
  </xdr:twoCellAnchor>
  <xdr:twoCellAnchor editAs="oneCell">
    <xdr:from>
      <xdr:col>0</xdr:col>
      <xdr:colOff>171532</xdr:colOff>
      <xdr:row>60</xdr:row>
      <xdr:rowOff>72158</xdr:rowOff>
    </xdr:from>
    <xdr:to>
      <xdr:col>0</xdr:col>
      <xdr:colOff>609722</xdr:colOff>
      <xdr:row>60</xdr:row>
      <xdr:rowOff>647699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946" b="6859"/>
        <a:stretch/>
      </xdr:blipFill>
      <xdr:spPr>
        <a:xfrm>
          <a:off x="171532" y="27494633"/>
          <a:ext cx="447715" cy="575541"/>
        </a:xfrm>
        <a:prstGeom prst="rect">
          <a:avLst/>
        </a:prstGeom>
      </xdr:spPr>
    </xdr:pic>
    <xdr:clientData/>
  </xdr:twoCellAnchor>
  <xdr:twoCellAnchor editAs="oneCell">
    <xdr:from>
      <xdr:col>0</xdr:col>
      <xdr:colOff>185468</xdr:colOff>
      <xdr:row>61</xdr:row>
      <xdr:rowOff>19050</xdr:rowOff>
    </xdr:from>
    <xdr:to>
      <xdr:col>0</xdr:col>
      <xdr:colOff>590178</xdr:colOff>
      <xdr:row>61</xdr:row>
      <xdr:rowOff>628650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536" b="6907"/>
        <a:stretch/>
      </xdr:blipFill>
      <xdr:spPr>
        <a:xfrm>
          <a:off x="185468" y="28136850"/>
          <a:ext cx="40471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110293</xdr:colOff>
      <xdr:row>63</xdr:row>
      <xdr:rowOff>76200</xdr:rowOff>
    </xdr:from>
    <xdr:to>
      <xdr:col>0</xdr:col>
      <xdr:colOff>505910</xdr:colOff>
      <xdr:row>63</xdr:row>
      <xdr:rowOff>581025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049" b="6707"/>
        <a:stretch/>
      </xdr:blipFill>
      <xdr:spPr>
        <a:xfrm>
          <a:off x="110293" y="29584650"/>
          <a:ext cx="395617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179648</xdr:colOff>
      <xdr:row>64</xdr:row>
      <xdr:rowOff>47625</xdr:rowOff>
    </xdr:from>
    <xdr:to>
      <xdr:col>0</xdr:col>
      <xdr:colOff>569477</xdr:colOff>
      <xdr:row>64</xdr:row>
      <xdr:rowOff>628597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5662"/>
        <a:stretch/>
      </xdr:blipFill>
      <xdr:spPr>
        <a:xfrm>
          <a:off x="179648" y="30251400"/>
          <a:ext cx="389829" cy="580972"/>
        </a:xfrm>
        <a:prstGeom prst="rect">
          <a:avLst/>
        </a:prstGeom>
      </xdr:spPr>
    </xdr:pic>
    <xdr:clientData/>
  </xdr:twoCellAnchor>
  <xdr:twoCellAnchor editAs="oneCell">
    <xdr:from>
      <xdr:col>0</xdr:col>
      <xdr:colOff>146468</xdr:colOff>
      <xdr:row>62</xdr:row>
      <xdr:rowOff>95250</xdr:rowOff>
    </xdr:from>
    <xdr:to>
      <xdr:col>0</xdr:col>
      <xdr:colOff>545636</xdr:colOff>
      <xdr:row>62</xdr:row>
      <xdr:rowOff>615416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37" b="4403"/>
        <a:stretch/>
      </xdr:blipFill>
      <xdr:spPr>
        <a:xfrm>
          <a:off x="146468" y="28908375"/>
          <a:ext cx="399168" cy="520166"/>
        </a:xfrm>
        <a:prstGeom prst="rect">
          <a:avLst/>
        </a:prstGeom>
      </xdr:spPr>
    </xdr:pic>
    <xdr:clientData/>
  </xdr:twoCellAnchor>
  <xdr:twoCellAnchor editAs="oneCell">
    <xdr:from>
      <xdr:col>0</xdr:col>
      <xdr:colOff>184762</xdr:colOff>
      <xdr:row>68</xdr:row>
      <xdr:rowOff>44699</xdr:rowOff>
    </xdr:from>
    <xdr:to>
      <xdr:col>0</xdr:col>
      <xdr:colOff>579053</xdr:colOff>
      <xdr:row>68</xdr:row>
      <xdr:rowOff>603643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637" b="4458"/>
        <a:stretch/>
      </xdr:blipFill>
      <xdr:spPr>
        <a:xfrm>
          <a:off x="184762" y="33029774"/>
          <a:ext cx="394291" cy="558944"/>
        </a:xfrm>
        <a:prstGeom prst="rect">
          <a:avLst/>
        </a:prstGeom>
      </xdr:spPr>
    </xdr:pic>
    <xdr:clientData/>
  </xdr:twoCellAnchor>
  <xdr:twoCellAnchor editAs="oneCell">
    <xdr:from>
      <xdr:col>0</xdr:col>
      <xdr:colOff>144126</xdr:colOff>
      <xdr:row>67</xdr:row>
      <xdr:rowOff>34512</xdr:rowOff>
    </xdr:from>
    <xdr:to>
      <xdr:col>0</xdr:col>
      <xdr:colOff>536407</xdr:colOff>
      <xdr:row>67</xdr:row>
      <xdr:rowOff>630740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847" b="5001"/>
        <a:stretch/>
      </xdr:blipFill>
      <xdr:spPr>
        <a:xfrm>
          <a:off x="144126" y="32324262"/>
          <a:ext cx="392281" cy="596228"/>
        </a:xfrm>
        <a:prstGeom prst="rect">
          <a:avLst/>
        </a:prstGeom>
      </xdr:spPr>
    </xdr:pic>
    <xdr:clientData/>
  </xdr:twoCellAnchor>
  <xdr:twoCellAnchor editAs="oneCell">
    <xdr:from>
      <xdr:col>0</xdr:col>
      <xdr:colOff>141306</xdr:colOff>
      <xdr:row>74</xdr:row>
      <xdr:rowOff>51126</xdr:rowOff>
    </xdr:from>
    <xdr:to>
      <xdr:col>0</xdr:col>
      <xdr:colOff>544194</xdr:colOff>
      <xdr:row>74</xdr:row>
      <xdr:rowOff>609600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155" b="4367"/>
        <a:stretch/>
      </xdr:blipFill>
      <xdr:spPr>
        <a:xfrm>
          <a:off x="141306" y="37208151"/>
          <a:ext cx="402888" cy="558474"/>
        </a:xfrm>
        <a:prstGeom prst="rect">
          <a:avLst/>
        </a:prstGeom>
      </xdr:spPr>
    </xdr:pic>
    <xdr:clientData/>
  </xdr:twoCellAnchor>
  <xdr:twoCellAnchor editAs="oneCell">
    <xdr:from>
      <xdr:col>0</xdr:col>
      <xdr:colOff>173312</xdr:colOff>
      <xdr:row>75</xdr:row>
      <xdr:rowOff>75883</xdr:rowOff>
    </xdr:from>
    <xdr:to>
      <xdr:col>0</xdr:col>
      <xdr:colOff>578022</xdr:colOff>
      <xdr:row>75</xdr:row>
      <xdr:rowOff>581025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46" b="5276"/>
        <a:stretch/>
      </xdr:blipFill>
      <xdr:spPr>
        <a:xfrm>
          <a:off x="173312" y="37928233"/>
          <a:ext cx="404710" cy="505142"/>
        </a:xfrm>
        <a:prstGeom prst="rect">
          <a:avLst/>
        </a:prstGeom>
      </xdr:spPr>
    </xdr:pic>
    <xdr:clientData/>
  </xdr:twoCellAnchor>
  <xdr:twoCellAnchor editAs="oneCell">
    <xdr:from>
      <xdr:col>0</xdr:col>
      <xdr:colOff>165711</xdr:colOff>
      <xdr:row>76</xdr:row>
      <xdr:rowOff>85406</xdr:rowOff>
    </xdr:from>
    <xdr:to>
      <xdr:col>0</xdr:col>
      <xdr:colOff>570421</xdr:colOff>
      <xdr:row>76</xdr:row>
      <xdr:rowOff>590549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803" b="7640"/>
        <a:stretch/>
      </xdr:blipFill>
      <xdr:spPr>
        <a:xfrm>
          <a:off x="165711" y="38633081"/>
          <a:ext cx="404710" cy="5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181105</xdr:colOff>
      <xdr:row>77</xdr:row>
      <xdr:rowOff>52818</xdr:rowOff>
    </xdr:from>
    <xdr:to>
      <xdr:col>0</xdr:col>
      <xdr:colOff>579698</xdr:colOff>
      <xdr:row>77</xdr:row>
      <xdr:rowOff>609614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899" b="4430"/>
        <a:stretch/>
      </xdr:blipFill>
      <xdr:spPr>
        <a:xfrm>
          <a:off x="181105" y="39295818"/>
          <a:ext cx="398593" cy="556796"/>
        </a:xfrm>
        <a:prstGeom prst="rect">
          <a:avLst/>
        </a:prstGeom>
      </xdr:spPr>
    </xdr:pic>
    <xdr:clientData/>
  </xdr:twoCellAnchor>
  <xdr:twoCellAnchor editAs="oneCell">
    <xdr:from>
      <xdr:col>0</xdr:col>
      <xdr:colOff>118086</xdr:colOff>
      <xdr:row>78</xdr:row>
      <xdr:rowOff>39933</xdr:rowOff>
    </xdr:from>
    <xdr:to>
      <xdr:col>0</xdr:col>
      <xdr:colOff>610760</xdr:colOff>
      <xdr:row>78</xdr:row>
      <xdr:rowOff>680951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923" b="3206"/>
        <a:stretch/>
      </xdr:blipFill>
      <xdr:spPr>
        <a:xfrm>
          <a:off x="118086" y="39978258"/>
          <a:ext cx="511724" cy="641018"/>
        </a:xfrm>
        <a:prstGeom prst="rect">
          <a:avLst/>
        </a:prstGeom>
      </xdr:spPr>
    </xdr:pic>
    <xdr:clientData/>
  </xdr:twoCellAnchor>
  <xdr:twoCellAnchor editAs="oneCell">
    <xdr:from>
      <xdr:col>0</xdr:col>
      <xdr:colOff>128659</xdr:colOff>
      <xdr:row>79</xdr:row>
      <xdr:rowOff>41560</xdr:rowOff>
    </xdr:from>
    <xdr:to>
      <xdr:col>0</xdr:col>
      <xdr:colOff>612767</xdr:colOff>
      <xdr:row>79</xdr:row>
      <xdr:rowOff>643419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62" b="4102"/>
        <a:stretch/>
      </xdr:blipFill>
      <xdr:spPr>
        <a:xfrm>
          <a:off x="128659" y="40675210"/>
          <a:ext cx="522208" cy="60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149067</xdr:colOff>
      <xdr:row>80</xdr:row>
      <xdr:rowOff>45717</xdr:rowOff>
    </xdr:from>
    <xdr:to>
      <xdr:col>0</xdr:col>
      <xdr:colOff>605527</xdr:colOff>
      <xdr:row>80</xdr:row>
      <xdr:rowOff>659468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4467"/>
        <a:stretch/>
      </xdr:blipFill>
      <xdr:spPr>
        <a:xfrm>
          <a:off x="149067" y="41374692"/>
          <a:ext cx="494560" cy="6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135404</xdr:colOff>
      <xdr:row>81</xdr:row>
      <xdr:rowOff>53510</xdr:rowOff>
    </xdr:from>
    <xdr:to>
      <xdr:col>0</xdr:col>
      <xdr:colOff>609600</xdr:colOff>
      <xdr:row>81</xdr:row>
      <xdr:rowOff>647700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50" b="5000"/>
        <a:stretch/>
      </xdr:blipFill>
      <xdr:spPr>
        <a:xfrm>
          <a:off x="135404" y="42077810"/>
          <a:ext cx="502771" cy="59419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31</xdr:row>
      <xdr:rowOff>80874</xdr:rowOff>
    </xdr:from>
    <xdr:to>
      <xdr:col>0</xdr:col>
      <xdr:colOff>571501</xdr:colOff>
      <xdr:row>31</xdr:row>
      <xdr:rowOff>590550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801" b="5960"/>
        <a:stretch/>
      </xdr:blipFill>
      <xdr:spPr>
        <a:xfrm>
          <a:off x="200025" y="7338924"/>
          <a:ext cx="371476" cy="50967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32</xdr:row>
      <xdr:rowOff>32658</xdr:rowOff>
    </xdr:from>
    <xdr:to>
      <xdr:col>0</xdr:col>
      <xdr:colOff>609600</xdr:colOff>
      <xdr:row>32</xdr:row>
      <xdr:rowOff>581025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835" b="6609"/>
        <a:stretch/>
      </xdr:blipFill>
      <xdr:spPr>
        <a:xfrm>
          <a:off x="171450" y="7986033"/>
          <a:ext cx="438150" cy="548367"/>
        </a:xfrm>
        <a:prstGeom prst="rect">
          <a:avLst/>
        </a:prstGeom>
      </xdr:spPr>
    </xdr:pic>
    <xdr:clientData/>
  </xdr:twoCellAnchor>
  <xdr:twoCellAnchor editAs="oneCell">
    <xdr:from>
      <xdr:col>0</xdr:col>
      <xdr:colOff>121822</xdr:colOff>
      <xdr:row>37</xdr:row>
      <xdr:rowOff>65810</xdr:rowOff>
    </xdr:from>
    <xdr:to>
      <xdr:col>0</xdr:col>
      <xdr:colOff>535871</xdr:colOff>
      <xdr:row>37</xdr:row>
      <xdr:rowOff>551471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6638" b="7765"/>
        <a:stretch/>
      </xdr:blipFill>
      <xdr:spPr>
        <a:xfrm>
          <a:off x="121822" y="11495810"/>
          <a:ext cx="414049" cy="485661"/>
        </a:xfrm>
        <a:prstGeom prst="rect">
          <a:avLst/>
        </a:prstGeom>
      </xdr:spPr>
    </xdr:pic>
    <xdr:clientData/>
  </xdr:twoCellAnchor>
  <xdr:twoCellAnchor editAs="oneCell">
    <xdr:from>
      <xdr:col>0</xdr:col>
      <xdr:colOff>101042</xdr:colOff>
      <xdr:row>65</xdr:row>
      <xdr:rowOff>76301</xdr:rowOff>
    </xdr:from>
    <xdr:to>
      <xdr:col>0</xdr:col>
      <xdr:colOff>519100</xdr:colOff>
      <xdr:row>65</xdr:row>
      <xdr:rowOff>600074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452" b="8010"/>
        <a:stretch/>
      </xdr:blipFill>
      <xdr:spPr>
        <a:xfrm>
          <a:off x="101042" y="30975401"/>
          <a:ext cx="418058" cy="523773"/>
        </a:xfrm>
        <a:prstGeom prst="rect">
          <a:avLst/>
        </a:prstGeom>
      </xdr:spPr>
    </xdr:pic>
    <xdr:clientData/>
  </xdr:twoCellAnchor>
  <xdr:twoCellAnchor editAs="oneCell">
    <xdr:from>
      <xdr:col>0</xdr:col>
      <xdr:colOff>94715</xdr:colOff>
      <xdr:row>46</xdr:row>
      <xdr:rowOff>54922</xdr:rowOff>
    </xdr:from>
    <xdr:to>
      <xdr:col>0</xdr:col>
      <xdr:colOff>508617</xdr:colOff>
      <xdr:row>46</xdr:row>
      <xdr:rowOff>572689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157" b="6430"/>
        <a:stretch/>
      </xdr:blipFill>
      <xdr:spPr>
        <a:xfrm>
          <a:off x="94715" y="17742847"/>
          <a:ext cx="413902" cy="517767"/>
        </a:xfrm>
        <a:prstGeom prst="rect">
          <a:avLst/>
        </a:prstGeom>
      </xdr:spPr>
    </xdr:pic>
    <xdr:clientData/>
  </xdr:twoCellAnchor>
  <xdr:twoCellAnchor editAs="oneCell">
    <xdr:from>
      <xdr:col>0</xdr:col>
      <xdr:colOff>133981</xdr:colOff>
      <xdr:row>69</xdr:row>
      <xdr:rowOff>71301</xdr:rowOff>
    </xdr:from>
    <xdr:to>
      <xdr:col>0</xdr:col>
      <xdr:colOff>536706</xdr:colOff>
      <xdr:row>69</xdr:row>
      <xdr:rowOff>545868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2439" t="1626" r="2439" b="4305"/>
        <a:stretch/>
      </xdr:blipFill>
      <xdr:spPr>
        <a:xfrm>
          <a:off x="133981" y="33751701"/>
          <a:ext cx="402725" cy="474567"/>
        </a:xfrm>
        <a:prstGeom prst="rect">
          <a:avLst/>
        </a:prstGeom>
      </xdr:spPr>
    </xdr:pic>
    <xdr:clientData/>
  </xdr:twoCellAnchor>
  <xdr:twoCellAnchor editAs="oneCell">
    <xdr:from>
      <xdr:col>0</xdr:col>
      <xdr:colOff>148073</xdr:colOff>
      <xdr:row>66</xdr:row>
      <xdr:rowOff>54216</xdr:rowOff>
    </xdr:from>
    <xdr:to>
      <xdr:col>0</xdr:col>
      <xdr:colOff>548639</xdr:colOff>
      <xdr:row>66</xdr:row>
      <xdr:rowOff>580217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431" b="4361"/>
        <a:stretch/>
      </xdr:blipFill>
      <xdr:spPr>
        <a:xfrm>
          <a:off x="148073" y="31648641"/>
          <a:ext cx="400566" cy="526001"/>
        </a:xfrm>
        <a:prstGeom prst="rect">
          <a:avLst/>
        </a:prstGeom>
      </xdr:spPr>
    </xdr:pic>
    <xdr:clientData/>
  </xdr:twoCellAnchor>
  <xdr:twoCellAnchor editAs="oneCell">
    <xdr:from>
      <xdr:col>0</xdr:col>
      <xdr:colOff>183785</xdr:colOff>
      <xdr:row>72</xdr:row>
      <xdr:rowOff>44358</xdr:rowOff>
    </xdr:from>
    <xdr:to>
      <xdr:col>0</xdr:col>
      <xdr:colOff>581459</xdr:colOff>
      <xdr:row>72</xdr:row>
      <xdr:rowOff>607142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2458" r="2458" b="4917"/>
        <a:stretch/>
      </xdr:blipFill>
      <xdr:spPr>
        <a:xfrm>
          <a:off x="183785" y="35810733"/>
          <a:ext cx="397674" cy="562784"/>
        </a:xfrm>
        <a:prstGeom prst="rect">
          <a:avLst/>
        </a:prstGeom>
      </xdr:spPr>
    </xdr:pic>
    <xdr:clientData/>
  </xdr:twoCellAnchor>
  <xdr:twoCellAnchor editAs="oneCell">
    <xdr:from>
      <xdr:col>0</xdr:col>
      <xdr:colOff>182326</xdr:colOff>
      <xdr:row>73</xdr:row>
      <xdr:rowOff>43870</xdr:rowOff>
    </xdr:from>
    <xdr:to>
      <xdr:col>0</xdr:col>
      <xdr:colOff>570124</xdr:colOff>
      <xdr:row>73</xdr:row>
      <xdr:rowOff>614016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300" b="4441"/>
        <a:stretch/>
      </xdr:blipFill>
      <xdr:spPr>
        <a:xfrm>
          <a:off x="182326" y="36505570"/>
          <a:ext cx="387798" cy="570146"/>
        </a:xfrm>
        <a:prstGeom prst="rect">
          <a:avLst/>
        </a:prstGeom>
      </xdr:spPr>
    </xdr:pic>
    <xdr:clientData/>
  </xdr:twoCellAnchor>
  <xdr:twoCellAnchor editAs="oneCell">
    <xdr:from>
      <xdr:col>0</xdr:col>
      <xdr:colOff>177400</xdr:colOff>
      <xdr:row>71</xdr:row>
      <xdr:rowOff>36340</xdr:rowOff>
    </xdr:from>
    <xdr:to>
      <xdr:col>0</xdr:col>
      <xdr:colOff>571758</xdr:colOff>
      <xdr:row>71</xdr:row>
      <xdr:rowOff>644479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02" b="4662"/>
        <a:stretch/>
      </xdr:blipFill>
      <xdr:spPr>
        <a:xfrm>
          <a:off x="177400" y="35107390"/>
          <a:ext cx="394358" cy="608139"/>
        </a:xfrm>
        <a:prstGeom prst="rect">
          <a:avLst/>
        </a:prstGeom>
      </xdr:spPr>
    </xdr:pic>
    <xdr:clientData/>
  </xdr:twoCellAnchor>
  <xdr:twoCellAnchor editAs="oneCell">
    <xdr:from>
      <xdr:col>0</xdr:col>
      <xdr:colOff>201425</xdr:colOff>
      <xdr:row>70</xdr:row>
      <xdr:rowOff>51052</xdr:rowOff>
    </xdr:from>
    <xdr:to>
      <xdr:col>0</xdr:col>
      <xdr:colOff>592184</xdr:colOff>
      <xdr:row>70</xdr:row>
      <xdr:rowOff>602042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" b="2807"/>
        <a:stretch/>
      </xdr:blipFill>
      <xdr:spPr>
        <a:xfrm>
          <a:off x="201425" y="34426777"/>
          <a:ext cx="390759" cy="550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9525</xdr:rowOff>
    </xdr:from>
    <xdr:to>
      <xdr:col>6</xdr:col>
      <xdr:colOff>628651</xdr:colOff>
      <xdr:row>2</xdr:row>
      <xdr:rowOff>66675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209550" y="9525"/>
          <a:ext cx="5953126" cy="485775"/>
        </a:xfrm>
        <a:prstGeom prst="rect">
          <a:avLst/>
        </a:prstGeom>
      </xdr:spPr>
      <xdr:txBody>
        <a:bodyPr wrap="none" fromWordArt="1">
          <a:prstTxWarp prst="textDeflateTop">
            <a:avLst>
              <a:gd name="adj" fmla="val 46875"/>
            </a:avLst>
          </a:prstTxWarp>
        </a:bodyPr>
        <a:lstStyle/>
        <a:p>
          <a:pPr algn="ctr" rtl="0"/>
          <a:r>
            <a:rPr lang="ru-RU" sz="3600" b="1" kern="10" spc="0">
              <a:ln w="9525">
                <a:solidFill>
                  <a:srgbClr val="0000CC"/>
                </a:solidFill>
                <a:round/>
                <a:headEnd/>
                <a:tailEnd/>
              </a:ln>
              <a:solidFill>
                <a:srgbClr val="0000CC"/>
              </a:solidFill>
              <a:effectLst>
                <a:outerShdw dist="99190" dir="18588334" algn="ctr" rotWithShape="0">
                  <a:srgbClr val="868686">
                    <a:alpha val="50000"/>
                  </a:srgbClr>
                </a:outerShdw>
              </a:effectLst>
              <a:latin typeface="Tahoma"/>
              <a:ea typeface="Tahoma"/>
              <a:cs typeface="Tahoma"/>
            </a:rPr>
            <a:t>ООО "С.К. ПЛАСТИКА"</a:t>
          </a:r>
        </a:p>
      </xdr:txBody>
    </xdr:sp>
    <xdr:clientData/>
  </xdr:twoCellAnchor>
  <xdr:twoCellAnchor>
    <xdr:from>
      <xdr:col>8</xdr:col>
      <xdr:colOff>85725</xdr:colOff>
      <xdr:row>9</xdr:row>
      <xdr:rowOff>38100</xdr:rowOff>
    </xdr:from>
    <xdr:to>
      <xdr:col>8</xdr:col>
      <xdr:colOff>781050</xdr:colOff>
      <xdr:row>9</xdr:row>
      <xdr:rowOff>152400</xdr:rowOff>
    </xdr:to>
    <xdr:sp macro="" textlink="">
      <xdr:nvSpPr>
        <xdr:cNvPr id="3" name="Стрелка вправо 2"/>
        <xdr:cNvSpPr/>
      </xdr:nvSpPr>
      <xdr:spPr>
        <a:xfrm>
          <a:off x="6505575" y="1762125"/>
          <a:ext cx="695325" cy="114300"/>
        </a:xfrm>
        <a:prstGeom prst="rightArrow">
          <a:avLst/>
        </a:prstGeom>
        <a:solidFill>
          <a:srgbClr val="FFFF0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5"/>
  <sheetViews>
    <sheetView tabSelected="1" zoomScaleNormal="100" workbookViewId="0">
      <selection activeCell="D35" sqref="D35"/>
    </sheetView>
  </sheetViews>
  <sheetFormatPr defaultRowHeight="15"/>
  <cols>
    <col min="1" max="1" width="4.42578125" customWidth="1"/>
    <col min="2" max="2" width="15.5703125" customWidth="1"/>
    <col min="3" max="3" width="11.5703125" customWidth="1"/>
    <col min="4" max="4" width="44" customWidth="1"/>
    <col min="5" max="5" width="11.28515625" customWidth="1"/>
    <col min="6" max="6" width="12.7109375" customWidth="1"/>
    <col min="7" max="8" width="15.140625" customWidth="1"/>
    <col min="9" max="9" width="0.7109375" customWidth="1"/>
    <col min="10" max="10" width="10" customWidth="1"/>
    <col min="11" max="11" width="13.28515625" customWidth="1"/>
    <col min="12" max="12" width="11" customWidth="1"/>
    <col min="13" max="13" width="12.85546875" customWidth="1"/>
  </cols>
  <sheetData>
    <row r="1" spans="1:13" ht="18.75">
      <c r="A1" s="1"/>
      <c r="C1" s="2"/>
      <c r="I1" s="3"/>
    </row>
    <row r="2" spans="1:13">
      <c r="C2" s="2"/>
      <c r="I2" s="3"/>
      <c r="K2" s="106"/>
    </row>
    <row r="3" spans="1:13" ht="3" customHeight="1" thickBot="1">
      <c r="A3" s="4"/>
      <c r="B3" s="4"/>
      <c r="C3" s="5"/>
      <c r="D3" s="4"/>
      <c r="E3" s="4"/>
      <c r="F3" s="4"/>
      <c r="G3" s="4"/>
      <c r="H3" s="4"/>
      <c r="I3" s="3"/>
    </row>
    <row r="4" spans="1:13" s="167" customFormat="1" ht="13.5" customHeight="1">
      <c r="A4" s="259" t="s">
        <v>294</v>
      </c>
      <c r="B4" s="259"/>
      <c r="C4" s="259"/>
      <c r="D4" s="259"/>
      <c r="E4" s="259"/>
      <c r="F4" s="259"/>
      <c r="G4" s="259"/>
      <c r="H4" s="259"/>
      <c r="I4" s="166"/>
    </row>
    <row r="5" spans="1:13" s="167" customFormat="1" ht="13.5" customHeight="1">
      <c r="A5" s="260" t="s">
        <v>295</v>
      </c>
      <c r="B5" s="260"/>
      <c r="C5" s="260"/>
      <c r="D5" s="260"/>
      <c r="E5" s="260"/>
      <c r="F5" s="260"/>
      <c r="G5" s="260"/>
      <c r="H5" s="260"/>
      <c r="I5" s="166"/>
    </row>
    <row r="6" spans="1:13" s="167" customFormat="1" ht="13.5" customHeight="1">
      <c r="A6" s="261" t="s">
        <v>0</v>
      </c>
      <c r="B6" s="261"/>
      <c r="C6" s="261"/>
      <c r="D6" s="261"/>
      <c r="E6" s="261"/>
      <c r="F6" s="261"/>
      <c r="G6" s="261"/>
      <c r="H6" s="261"/>
      <c r="I6" s="166"/>
    </row>
    <row r="7" spans="1:13" s="167" customFormat="1" ht="14.25" customHeight="1">
      <c r="A7" s="262" t="s">
        <v>2</v>
      </c>
      <c r="B7" s="262"/>
      <c r="C7" s="262"/>
      <c r="D7" s="262"/>
      <c r="E7" s="262"/>
      <c r="F7" s="262"/>
      <c r="G7" s="262"/>
      <c r="H7" s="262"/>
      <c r="I7" s="166"/>
    </row>
    <row r="8" spans="1:13" s="167" customFormat="1" ht="13.5" customHeight="1">
      <c r="A8" s="262" t="s">
        <v>356</v>
      </c>
      <c r="B8" s="262"/>
      <c r="C8" s="262"/>
      <c r="D8" s="262"/>
      <c r="E8" s="262"/>
      <c r="F8" s="262"/>
      <c r="G8" s="262"/>
      <c r="H8" s="262"/>
      <c r="I8" s="166"/>
    </row>
    <row r="9" spans="1:13" s="108" customFormat="1" ht="16.5" thickBot="1">
      <c r="A9" s="256" t="s">
        <v>357</v>
      </c>
      <c r="B9" s="256"/>
      <c r="C9" s="256"/>
      <c r="D9" s="256"/>
      <c r="E9" s="256"/>
      <c r="F9" s="256"/>
      <c r="G9" s="256"/>
      <c r="H9" s="256"/>
      <c r="I9" s="107"/>
    </row>
    <row r="10" spans="1:13" ht="3" customHeight="1" thickTop="1">
      <c r="A10" s="257"/>
      <c r="B10" s="257"/>
      <c r="C10" s="257"/>
      <c r="D10" s="257"/>
      <c r="E10" s="257"/>
      <c r="F10" s="257"/>
      <c r="G10" s="257"/>
      <c r="H10" s="257"/>
      <c r="I10" s="3"/>
      <c r="J10" s="105"/>
      <c r="K10" s="6"/>
    </row>
    <row r="11" spans="1:13" ht="12.75" customHeight="1">
      <c r="A11" s="109"/>
      <c r="C11" s="110"/>
      <c r="D11" s="110"/>
      <c r="E11" s="110"/>
      <c r="F11" s="110"/>
      <c r="G11" s="258" t="s">
        <v>253</v>
      </c>
      <c r="H11" s="258"/>
      <c r="I11" s="3"/>
      <c r="J11" s="105"/>
      <c r="K11" s="6"/>
    </row>
    <row r="12" spans="1:13" ht="12.75" customHeight="1" thickBot="1">
      <c r="A12" s="111"/>
      <c r="B12" s="111"/>
      <c r="C12" s="112"/>
      <c r="D12" s="113"/>
      <c r="E12" s="111"/>
      <c r="F12" s="111"/>
      <c r="G12" s="219">
        <v>10000</v>
      </c>
      <c r="H12" s="220" t="s">
        <v>254</v>
      </c>
      <c r="I12" s="3"/>
    </row>
    <row r="13" spans="1:13" ht="12.75" customHeight="1" thickBot="1">
      <c r="A13" s="111"/>
      <c r="B13" s="111"/>
      <c r="C13" s="112"/>
      <c r="D13" s="111"/>
      <c r="E13" s="111"/>
      <c r="F13" s="111"/>
      <c r="G13" s="221">
        <v>20000</v>
      </c>
      <c r="H13" s="220" t="s">
        <v>255</v>
      </c>
      <c r="I13" s="3"/>
      <c r="J13" s="240" t="s">
        <v>1</v>
      </c>
      <c r="K13" s="241"/>
      <c r="L13" s="241"/>
      <c r="M13" s="242"/>
    </row>
    <row r="14" spans="1:13" ht="12.75" customHeight="1">
      <c r="A14" s="111"/>
      <c r="B14" s="111"/>
      <c r="C14" s="112"/>
      <c r="D14" s="111"/>
      <c r="E14" s="111"/>
      <c r="F14" s="111"/>
      <c r="G14" s="221">
        <v>50000</v>
      </c>
      <c r="H14" s="220" t="s">
        <v>256</v>
      </c>
      <c r="I14" s="3"/>
      <c r="J14" s="243" t="s">
        <v>3</v>
      </c>
      <c r="K14" s="6"/>
      <c r="L14" s="250" t="s">
        <v>332</v>
      </c>
      <c r="M14" s="253">
        <f>K20+'Мусорные мешки'!J13</f>
        <v>0</v>
      </c>
    </row>
    <row r="15" spans="1:13" ht="12.75" customHeight="1">
      <c r="A15" s="111"/>
      <c r="B15" s="111"/>
      <c r="C15" s="112"/>
      <c r="D15" s="111"/>
      <c r="E15" s="111"/>
      <c r="F15" s="111"/>
      <c r="G15" s="221">
        <v>80000</v>
      </c>
      <c r="H15" s="220" t="s">
        <v>257</v>
      </c>
      <c r="I15" s="3"/>
      <c r="J15" s="243"/>
      <c r="K15" s="6"/>
      <c r="L15" s="251"/>
      <c r="M15" s="254"/>
    </row>
    <row r="16" spans="1:13" ht="15" customHeight="1" thickBot="1">
      <c r="A16" s="111"/>
      <c r="B16" s="111"/>
      <c r="C16" s="112"/>
      <c r="D16" s="111"/>
      <c r="E16" s="111"/>
      <c r="F16" s="111"/>
      <c r="G16" s="221">
        <v>150000</v>
      </c>
      <c r="H16" s="114" t="s">
        <v>258</v>
      </c>
      <c r="I16" s="3"/>
      <c r="J16" s="243"/>
      <c r="K16" s="6"/>
      <c r="L16" s="252"/>
      <c r="M16" s="255"/>
    </row>
    <row r="17" spans="1:13" ht="11.25" customHeight="1" thickBot="1">
      <c r="A17" s="111"/>
      <c r="B17" s="111"/>
      <c r="C17" s="112"/>
      <c r="D17" s="111"/>
      <c r="E17" s="111"/>
      <c r="F17" s="244"/>
      <c r="G17" s="244"/>
      <c r="H17" s="244"/>
      <c r="I17" s="3"/>
      <c r="J17" s="105"/>
      <c r="K17" s="115" t="s">
        <v>4</v>
      </c>
    </row>
    <row r="18" spans="1:13" ht="12.75" customHeight="1" thickBot="1">
      <c r="A18" s="7"/>
      <c r="C18" s="2"/>
      <c r="D18" s="8"/>
      <c r="E18" s="9"/>
      <c r="H18" s="10"/>
      <c r="I18" s="3"/>
      <c r="K18" s="11">
        <v>0</v>
      </c>
    </row>
    <row r="19" spans="1:13" ht="46.5" customHeight="1" thickBot="1">
      <c r="A19" s="12" t="s">
        <v>5</v>
      </c>
      <c r="B19" s="13" t="s">
        <v>6</v>
      </c>
      <c r="C19" s="14" t="s">
        <v>7</v>
      </c>
      <c r="D19" s="15" t="s">
        <v>8</v>
      </c>
      <c r="E19" s="16" t="s">
        <v>9</v>
      </c>
      <c r="F19" s="15" t="s">
        <v>10</v>
      </c>
      <c r="G19" s="15" t="s">
        <v>259</v>
      </c>
      <c r="H19" s="17" t="s">
        <v>11</v>
      </c>
      <c r="I19" s="234"/>
      <c r="J19" s="245" t="s">
        <v>260</v>
      </c>
      <c r="K19" s="17" t="s">
        <v>12</v>
      </c>
      <c r="L19" s="17" t="s">
        <v>261</v>
      </c>
      <c r="M19" s="17" t="s">
        <v>262</v>
      </c>
    </row>
    <row r="20" spans="1:13" ht="15" customHeight="1" thickBot="1">
      <c r="A20" s="247" t="s">
        <v>13</v>
      </c>
      <c r="B20" s="248"/>
      <c r="C20" s="248"/>
      <c r="D20" s="248"/>
      <c r="E20" s="248"/>
      <c r="F20" s="248"/>
      <c r="G20" s="248"/>
      <c r="H20" s="249"/>
      <c r="I20" s="116"/>
      <c r="J20" s="246"/>
      <c r="K20" s="18">
        <f>SUM(K21:K85)</f>
        <v>0</v>
      </c>
      <c r="L20" s="117">
        <f>SUM(L27:L86)</f>
        <v>0</v>
      </c>
      <c r="M20" s="118">
        <f>SUM(M21:M86)</f>
        <v>0</v>
      </c>
    </row>
    <row r="21" spans="1:13" ht="45" customHeight="1">
      <c r="A21" s="19">
        <v>1</v>
      </c>
      <c r="B21" s="20"/>
      <c r="C21" s="21" t="s">
        <v>14</v>
      </c>
      <c r="D21" s="22" t="s">
        <v>15</v>
      </c>
      <c r="E21" s="23">
        <v>28</v>
      </c>
      <c r="F21" s="24" t="s">
        <v>16</v>
      </c>
      <c r="G21" s="119" t="s">
        <v>263</v>
      </c>
      <c r="H21" s="120">
        <v>84.35</v>
      </c>
      <c r="I21" s="121"/>
      <c r="J21" s="122"/>
      <c r="K21" s="123">
        <f>IF(K18=0,J21*H21,H21/(K18/100+1)*J21)</f>
        <v>0</v>
      </c>
      <c r="L21" s="124">
        <f>ROUNDUP(J21/E21,0)*0.076</f>
        <v>0</v>
      </c>
      <c r="M21" s="26">
        <f>J21*0.254+(ROUNDUP(J21/E21,0)*0.73)</f>
        <v>0</v>
      </c>
    </row>
    <row r="22" spans="1:13" ht="45" customHeight="1">
      <c r="A22" s="27">
        <f>A21+1</f>
        <v>2</v>
      </c>
      <c r="B22" s="28"/>
      <c r="C22" s="29" t="s">
        <v>17</v>
      </c>
      <c r="D22" s="30" t="s">
        <v>18</v>
      </c>
      <c r="E22" s="31">
        <v>35</v>
      </c>
      <c r="F22" s="32" t="s">
        <v>358</v>
      </c>
      <c r="G22" s="125" t="s">
        <v>264</v>
      </c>
      <c r="H22" s="126">
        <v>47.28</v>
      </c>
      <c r="I22" s="127"/>
      <c r="J22" s="128"/>
      <c r="K22" s="123">
        <f>IF(K18=0,J22*H22,H22/(K18/100+1)*J22)</f>
        <v>0</v>
      </c>
      <c r="L22" s="124">
        <f>ROUNDUP(J22/E22,0)*0.021</f>
        <v>0</v>
      </c>
      <c r="M22" s="26">
        <f>J22*0.156+(ROUNDUP(J22/E22,0)*0.28)</f>
        <v>0</v>
      </c>
    </row>
    <row r="23" spans="1:13" ht="45" customHeight="1">
      <c r="A23" s="27">
        <f t="shared" ref="A23:A81" si="0">A22+1</f>
        <v>3</v>
      </c>
      <c r="B23" s="35"/>
      <c r="C23" s="36" t="s">
        <v>19</v>
      </c>
      <c r="D23" s="37" t="s">
        <v>20</v>
      </c>
      <c r="E23" s="38">
        <v>20</v>
      </c>
      <c r="F23" s="39" t="s">
        <v>21</v>
      </c>
      <c r="G23" s="125" t="s">
        <v>265</v>
      </c>
      <c r="H23" s="33">
        <v>103.68</v>
      </c>
      <c r="I23" s="129"/>
      <c r="J23" s="128"/>
      <c r="K23" s="123">
        <f>IF(K18=0,J23*H23,H23/(K18/100+1)*J23)</f>
        <v>0</v>
      </c>
      <c r="L23" s="130">
        <f>ROUNDUP(J23/E23,0)*0.028</f>
        <v>0</v>
      </c>
      <c r="M23" s="26">
        <f>J23*0.372+(ROUNDUP(J23/E23,0)*0.14)</f>
        <v>0</v>
      </c>
    </row>
    <row r="24" spans="1:13" ht="45" customHeight="1">
      <c r="A24" s="27">
        <f t="shared" si="0"/>
        <v>4</v>
      </c>
      <c r="B24" s="40"/>
      <c r="C24" s="36" t="s">
        <v>22</v>
      </c>
      <c r="D24" s="30" t="s">
        <v>23</v>
      </c>
      <c r="E24" s="31">
        <v>20</v>
      </c>
      <c r="F24" s="39" t="s">
        <v>24</v>
      </c>
      <c r="G24" s="125" t="s">
        <v>266</v>
      </c>
      <c r="H24" s="33">
        <v>65.47</v>
      </c>
      <c r="I24" s="129"/>
      <c r="J24" s="128"/>
      <c r="K24" s="123">
        <f>IF(K18=0,J24*H24,H24/(K18/100+1)*J24)</f>
        <v>0</v>
      </c>
      <c r="L24" s="130">
        <f>ROUNDUP(J24/E24,0)*0.016</f>
        <v>0</v>
      </c>
      <c r="M24" s="26">
        <f>J24*0.239+(ROUNDUP(J24/E24,0)*0.065)</f>
        <v>0</v>
      </c>
    </row>
    <row r="25" spans="1:13" ht="45" customHeight="1">
      <c r="A25" s="27">
        <f t="shared" si="0"/>
        <v>5</v>
      </c>
      <c r="B25" s="41"/>
      <c r="C25" s="42" t="s">
        <v>25</v>
      </c>
      <c r="D25" s="43" t="s">
        <v>26</v>
      </c>
      <c r="E25" s="31">
        <v>40</v>
      </c>
      <c r="F25" s="44" t="s">
        <v>27</v>
      </c>
      <c r="G25" s="131" t="s">
        <v>267</v>
      </c>
      <c r="H25" s="223">
        <v>77.23</v>
      </c>
      <c r="I25" s="129"/>
      <c r="J25" s="128"/>
      <c r="K25" s="123">
        <f>IF(K18=0,J25*H25,H25/(K18/100+1)*J25)</f>
        <v>0</v>
      </c>
      <c r="L25" s="130">
        <f>ROUNDUP(J25/E25,0)*0.018</f>
        <v>0</v>
      </c>
      <c r="M25" s="26">
        <f>J25*0.281+(ROUNDUP(J25/E25,0)*0.14)</f>
        <v>0</v>
      </c>
    </row>
    <row r="26" spans="1:13" ht="45" customHeight="1">
      <c r="A26" s="27">
        <f t="shared" si="0"/>
        <v>6</v>
      </c>
      <c r="B26" s="48"/>
      <c r="C26" s="49" t="s">
        <v>28</v>
      </c>
      <c r="D26" s="50" t="s">
        <v>29</v>
      </c>
      <c r="E26" s="51">
        <v>18</v>
      </c>
      <c r="F26" s="52" t="s">
        <v>30</v>
      </c>
      <c r="G26" s="132" t="s">
        <v>268</v>
      </c>
      <c r="H26" s="223">
        <v>34.200000000000003</v>
      </c>
      <c r="I26" s="129"/>
      <c r="J26" s="128"/>
      <c r="K26" s="123">
        <f>IF(K18=0,J26*H26,H26/(K18/100+1)*J26)</f>
        <v>0</v>
      </c>
      <c r="L26" s="130">
        <f>ROUNDUP(J26/E26,0)*0.018</f>
        <v>0</v>
      </c>
      <c r="M26" s="26">
        <f>J26*0.064+(ROUNDUP(J26/E26,0)*0.25)</f>
        <v>0</v>
      </c>
    </row>
    <row r="27" spans="1:13" ht="45" customHeight="1">
      <c r="A27" s="27">
        <f t="shared" si="0"/>
        <v>7</v>
      </c>
      <c r="B27" s="45"/>
      <c r="C27" s="36" t="s">
        <v>31</v>
      </c>
      <c r="D27" s="46" t="s">
        <v>32</v>
      </c>
      <c r="E27" s="47">
        <v>40</v>
      </c>
      <c r="F27" s="39" t="s">
        <v>33</v>
      </c>
      <c r="G27" s="125" t="s">
        <v>269</v>
      </c>
      <c r="H27" s="33">
        <v>40.9</v>
      </c>
      <c r="I27" s="129"/>
      <c r="J27" s="128"/>
      <c r="K27" s="123">
        <f>IF(K18=0,J27*H27,H27/(K18/100+1)*J27)</f>
        <v>0</v>
      </c>
      <c r="L27" s="130">
        <f>ROUNDUP(J27/E27,0)*0.054</f>
        <v>0</v>
      </c>
      <c r="M27" s="26">
        <f>J27*0.162+(ROUNDUP(J27/E27,0)*0.73)</f>
        <v>0</v>
      </c>
    </row>
    <row r="28" spans="1:13" ht="45" customHeight="1">
      <c r="A28" s="27">
        <f t="shared" si="0"/>
        <v>8</v>
      </c>
      <c r="B28" s="40"/>
      <c r="C28" s="36" t="s">
        <v>34</v>
      </c>
      <c r="D28" s="46" t="s">
        <v>35</v>
      </c>
      <c r="E28" s="31">
        <v>400</v>
      </c>
      <c r="F28" s="133" t="s">
        <v>36</v>
      </c>
      <c r="G28" s="125" t="s">
        <v>269</v>
      </c>
      <c r="H28" s="33">
        <v>2.93</v>
      </c>
      <c r="I28" s="129"/>
      <c r="J28" s="128"/>
      <c r="K28" s="123">
        <f>IF(K18=0,J28*H28,H28/(K18/100+1)*J28)</f>
        <v>0</v>
      </c>
      <c r="L28" s="130">
        <f>ROUNDUP(J28/E28,0)*0.054</f>
        <v>0</v>
      </c>
      <c r="M28" s="26">
        <f>J28*0.013+(ROUNDUP(J28/E28,0)*0.73)</f>
        <v>0</v>
      </c>
    </row>
    <row r="29" spans="1:13" ht="45" customHeight="1">
      <c r="A29" s="27">
        <f t="shared" si="0"/>
        <v>9</v>
      </c>
      <c r="B29" s="40"/>
      <c r="C29" s="36" t="s">
        <v>37</v>
      </c>
      <c r="D29" s="30" t="s">
        <v>38</v>
      </c>
      <c r="E29" s="31">
        <v>40</v>
      </c>
      <c r="F29" s="133" t="s">
        <v>33</v>
      </c>
      <c r="G29" s="125" t="s">
        <v>269</v>
      </c>
      <c r="H29" s="33">
        <v>36.799999999999997</v>
      </c>
      <c r="I29" s="129"/>
      <c r="J29" s="128"/>
      <c r="K29" s="123">
        <f>IF(K18=0,J29*H29,H29/(K18/100+1)*J29)</f>
        <v>0</v>
      </c>
      <c r="L29" s="130">
        <f>ROUNDUP(J29/E29,0)*0.054</f>
        <v>0</v>
      </c>
      <c r="M29" s="26">
        <f>J29*0.13+(ROUNDUP(J29/E29,0)*0.73)</f>
        <v>0</v>
      </c>
    </row>
    <row r="30" spans="1:13" ht="45" customHeight="1">
      <c r="A30" s="27">
        <f t="shared" si="0"/>
        <v>10</v>
      </c>
      <c r="B30" s="45"/>
      <c r="C30" s="36" t="s">
        <v>39</v>
      </c>
      <c r="D30" s="46" t="s">
        <v>40</v>
      </c>
      <c r="E30" s="47">
        <v>400</v>
      </c>
      <c r="F30" s="133" t="s">
        <v>36</v>
      </c>
      <c r="G30" s="125" t="s">
        <v>269</v>
      </c>
      <c r="H30" s="33">
        <v>2.89</v>
      </c>
      <c r="I30" s="129"/>
      <c r="J30" s="128"/>
      <c r="K30" s="123">
        <f>IF(K18=0,J30*H30,H30/(K18/100+1)*J30)</f>
        <v>0</v>
      </c>
      <c r="L30" s="130">
        <f>ROUNDUP(J30/E30,0)*0.054</f>
        <v>0</v>
      </c>
      <c r="M30" s="26">
        <f>J30*0.013+(ROUNDUP(J30/E30,0)*0.73)</f>
        <v>0</v>
      </c>
    </row>
    <row r="31" spans="1:13" ht="45" customHeight="1">
      <c r="A31" s="27">
        <f t="shared" si="0"/>
        <v>11</v>
      </c>
      <c r="B31" s="45"/>
      <c r="C31" s="36" t="s">
        <v>41</v>
      </c>
      <c r="D31" s="46" t="s">
        <v>42</v>
      </c>
      <c r="E31" s="47">
        <v>18</v>
      </c>
      <c r="F31" s="39" t="s">
        <v>43</v>
      </c>
      <c r="G31" s="125" t="s">
        <v>270</v>
      </c>
      <c r="H31" s="33">
        <v>29.8</v>
      </c>
      <c r="I31" s="129"/>
      <c r="J31" s="128"/>
      <c r="K31" s="123">
        <f>IF(K18=0,J31*H31,H31/(K18/100+1)*J31)</f>
        <v>0</v>
      </c>
      <c r="L31" s="130">
        <f>ROUNDUP(J31/E31,0)*0.023</f>
        <v>0</v>
      </c>
      <c r="M31" s="26">
        <f>J31*0.085+(ROUNDUP(J31/E31,0)*0.3)</f>
        <v>0</v>
      </c>
    </row>
    <row r="32" spans="1:13" ht="45" customHeight="1">
      <c r="A32" s="27">
        <f t="shared" si="0"/>
        <v>12</v>
      </c>
      <c r="B32" s="45"/>
      <c r="C32" s="36" t="s">
        <v>44</v>
      </c>
      <c r="D32" s="46" t="s">
        <v>344</v>
      </c>
      <c r="E32" s="47">
        <v>72</v>
      </c>
      <c r="F32" s="39" t="s">
        <v>45</v>
      </c>
      <c r="G32" s="125" t="s">
        <v>269</v>
      </c>
      <c r="H32" s="33">
        <v>36.549999999999997</v>
      </c>
      <c r="I32" s="129"/>
      <c r="J32" s="128"/>
      <c r="K32" s="123">
        <f>IF(K18=0,J32*H32,H32/(K18/100+1)*J32)</f>
        <v>0</v>
      </c>
      <c r="L32" s="130">
        <f t="shared" ref="L32:L36" si="1">ROUNDUP(J32/E32,0)*0.054</f>
        <v>0</v>
      </c>
      <c r="M32" s="26">
        <f>J32*0.094+(ROUNDUP(J32/E32,0)*0.585)</f>
        <v>0</v>
      </c>
    </row>
    <row r="33" spans="1:13" ht="45" customHeight="1">
      <c r="A33" s="27">
        <f t="shared" si="0"/>
        <v>13</v>
      </c>
      <c r="B33" s="53"/>
      <c r="C33" s="54" t="s">
        <v>46</v>
      </c>
      <c r="D33" s="50" t="s">
        <v>47</v>
      </c>
      <c r="E33" s="51">
        <v>40</v>
      </c>
      <c r="F33" s="32" t="s">
        <v>48</v>
      </c>
      <c r="G33" s="134" t="s">
        <v>263</v>
      </c>
      <c r="H33" s="33">
        <v>35.82</v>
      </c>
      <c r="I33" s="129"/>
      <c r="J33" s="128"/>
      <c r="K33" s="123">
        <f>IF(K18=0,J33*H33,H33/(K18/100+1)*J33)</f>
        <v>0</v>
      </c>
      <c r="L33" s="130">
        <f>ROUNDUP(J33/E33,0)*0.076</f>
        <v>0</v>
      </c>
      <c r="M33" s="26">
        <f>J33*0.091+(ROUNDUP(J33/E33,0)*0.73)</f>
        <v>0</v>
      </c>
    </row>
    <row r="34" spans="1:13" ht="45" customHeight="1">
      <c r="A34" s="27">
        <f t="shared" si="0"/>
        <v>14</v>
      </c>
      <c r="B34" s="40"/>
      <c r="C34" s="36" t="s">
        <v>49</v>
      </c>
      <c r="D34" s="30" t="s">
        <v>346</v>
      </c>
      <c r="E34" s="31">
        <v>54</v>
      </c>
      <c r="F34" s="39" t="s">
        <v>50</v>
      </c>
      <c r="G34" s="134" t="s">
        <v>263</v>
      </c>
      <c r="H34" s="33">
        <v>38.6</v>
      </c>
      <c r="I34" s="129"/>
      <c r="J34" s="128"/>
      <c r="K34" s="123">
        <f>IF(K18=0,J34*H34,H34/(K18/100+1)*J34)</f>
        <v>0</v>
      </c>
      <c r="L34" s="130">
        <f>ROUNDUP(J34/E34,0)*0.076</f>
        <v>0</v>
      </c>
      <c r="M34" s="26">
        <f>J34*0.103+(ROUNDUP(J34/E34,0)*0.73)</f>
        <v>0</v>
      </c>
    </row>
    <row r="35" spans="1:13" ht="45" customHeight="1">
      <c r="A35" s="27">
        <f t="shared" si="0"/>
        <v>15</v>
      </c>
      <c r="B35" s="28"/>
      <c r="C35" s="36" t="s">
        <v>51</v>
      </c>
      <c r="D35" s="30" t="s">
        <v>345</v>
      </c>
      <c r="E35" s="31">
        <v>40</v>
      </c>
      <c r="F35" s="31" t="s">
        <v>52</v>
      </c>
      <c r="G35" s="135" t="s">
        <v>269</v>
      </c>
      <c r="H35" s="223">
        <v>46.53</v>
      </c>
      <c r="I35" s="129"/>
      <c r="J35" s="128"/>
      <c r="K35" s="123">
        <f>IF(K18=0,J35*H35,H35/(K18/100+1)*J35)</f>
        <v>0</v>
      </c>
      <c r="L35" s="130">
        <f t="shared" si="1"/>
        <v>0</v>
      </c>
      <c r="M35" s="26">
        <f>J35*0.136+(ROUNDUP(J35/E35,0)*0.585)</f>
        <v>0</v>
      </c>
    </row>
    <row r="36" spans="1:13" ht="45" customHeight="1">
      <c r="A36" s="27">
        <f t="shared" si="0"/>
        <v>16</v>
      </c>
      <c r="B36" s="28"/>
      <c r="C36" s="36" t="s">
        <v>53</v>
      </c>
      <c r="D36" s="30" t="s">
        <v>348</v>
      </c>
      <c r="E36" s="31">
        <v>45</v>
      </c>
      <c r="F36" s="44" t="s">
        <v>54</v>
      </c>
      <c r="G36" s="131" t="s">
        <v>269</v>
      </c>
      <c r="H36" s="223">
        <v>66.52</v>
      </c>
      <c r="I36" s="129"/>
      <c r="J36" s="128"/>
      <c r="K36" s="123">
        <f>IF(K18=0,J36*H36,H36/(K18/100+1)*J36)</f>
        <v>0</v>
      </c>
      <c r="L36" s="130">
        <f t="shared" si="1"/>
        <v>0</v>
      </c>
      <c r="M36" s="26">
        <f>J36*0.214+(ROUNDUP(J36/E36,0)*0.585)</f>
        <v>0</v>
      </c>
    </row>
    <row r="37" spans="1:13" ht="45" customHeight="1">
      <c r="A37" s="27">
        <f t="shared" si="0"/>
        <v>17</v>
      </c>
      <c r="B37" s="35"/>
      <c r="C37" s="56" t="s">
        <v>55</v>
      </c>
      <c r="D37" s="57" t="s">
        <v>349</v>
      </c>
      <c r="E37" s="38">
        <v>100</v>
      </c>
      <c r="F37" s="58" t="s">
        <v>56</v>
      </c>
      <c r="G37" s="136" t="s">
        <v>264</v>
      </c>
      <c r="H37" s="223">
        <v>21.55</v>
      </c>
      <c r="I37" s="129"/>
      <c r="J37" s="128"/>
      <c r="K37" s="123">
        <f>IF(K18=0,J37*H37,H37/(K18/100+1)*J37)</f>
        <v>0</v>
      </c>
      <c r="L37" s="130">
        <f>ROUNDUP(J37/E37,0)*0.021</f>
        <v>0</v>
      </c>
      <c r="M37" s="26">
        <f>J37*0.043+(ROUNDUP(J37/E37,0)*0.28)</f>
        <v>0</v>
      </c>
    </row>
    <row r="38" spans="1:13" ht="45" customHeight="1">
      <c r="A38" s="27">
        <f t="shared" si="0"/>
        <v>18</v>
      </c>
      <c r="B38" s="40"/>
      <c r="C38" s="36" t="s">
        <v>57</v>
      </c>
      <c r="D38" s="30" t="s">
        <v>58</v>
      </c>
      <c r="E38" s="31">
        <v>50</v>
      </c>
      <c r="F38" s="44" t="s">
        <v>59</v>
      </c>
      <c r="G38" s="131" t="s">
        <v>264</v>
      </c>
      <c r="H38" s="33">
        <v>27.02</v>
      </c>
      <c r="I38" s="129"/>
      <c r="J38" s="128"/>
      <c r="K38" s="123">
        <f>IF(K18=0,J38*H38,H38/(K18/100+1)*J38)</f>
        <v>0</v>
      </c>
      <c r="L38" s="130">
        <f>ROUNDUP(J38/E38,0)*0.021</f>
        <v>0</v>
      </c>
      <c r="M38" s="26">
        <f>J38*0.062+(ROUNDUP(J38/E38,0)*0.28)</f>
        <v>0</v>
      </c>
    </row>
    <row r="39" spans="1:13" ht="45" customHeight="1">
      <c r="A39" s="27">
        <f t="shared" si="0"/>
        <v>19</v>
      </c>
      <c r="B39" s="40"/>
      <c r="C39" s="36" t="s">
        <v>60</v>
      </c>
      <c r="D39" s="30" t="s">
        <v>61</v>
      </c>
      <c r="E39" s="31">
        <v>70</v>
      </c>
      <c r="F39" s="44" t="s">
        <v>62</v>
      </c>
      <c r="G39" s="131" t="s">
        <v>264</v>
      </c>
      <c r="H39" s="33">
        <v>23.23</v>
      </c>
      <c r="I39" s="129"/>
      <c r="J39" s="128"/>
      <c r="K39" s="123">
        <f>IF(K18=0,J39*H39,H39/(K18/100+1)*J39)</f>
        <v>0</v>
      </c>
      <c r="L39" s="130">
        <f>ROUNDUP(J39/E39,0)*0.021</f>
        <v>0</v>
      </c>
      <c r="M39" s="26">
        <f>J39*0.046+(ROUNDUP(J39/E39,0)*0.28)</f>
        <v>0</v>
      </c>
    </row>
    <row r="40" spans="1:13" ht="45" customHeight="1">
      <c r="A40" s="27">
        <f t="shared" si="0"/>
        <v>20</v>
      </c>
      <c r="B40" s="40"/>
      <c r="C40" s="36" t="s">
        <v>63</v>
      </c>
      <c r="D40" s="30" t="s">
        <v>64</v>
      </c>
      <c r="E40" s="31">
        <v>120</v>
      </c>
      <c r="F40" s="39" t="s">
        <v>65</v>
      </c>
      <c r="G40" s="125" t="s">
        <v>264</v>
      </c>
      <c r="H40" s="33">
        <v>35.869999999999997</v>
      </c>
      <c r="I40" s="129"/>
      <c r="J40" s="128"/>
      <c r="K40" s="123">
        <f>IF(K18=0,J40*H40,H40/(K18/100+1)*J40)</f>
        <v>0</v>
      </c>
      <c r="L40" s="130">
        <f>ROUNDUP(J40/E40,0)*0.021</f>
        <v>0</v>
      </c>
      <c r="M40" s="26">
        <f>J40*0.019+(ROUNDUP(J40/E40,0)*0.28)</f>
        <v>0</v>
      </c>
    </row>
    <row r="41" spans="1:13" ht="45" customHeight="1">
      <c r="A41" s="27">
        <f t="shared" si="0"/>
        <v>21</v>
      </c>
      <c r="B41" s="40"/>
      <c r="C41" s="36" t="s">
        <v>66</v>
      </c>
      <c r="D41" s="30" t="s">
        <v>351</v>
      </c>
      <c r="E41" s="31">
        <v>210</v>
      </c>
      <c r="F41" s="44" t="s">
        <v>67</v>
      </c>
      <c r="G41" s="131" t="s">
        <v>271</v>
      </c>
      <c r="H41" s="223">
        <v>2.62</v>
      </c>
      <c r="I41" s="129"/>
      <c r="J41" s="128"/>
      <c r="K41" s="123">
        <f>IF(K18=0,J41*H41,H41/(K18/100+1)*J41)</f>
        <v>0</v>
      </c>
      <c r="L41" s="130">
        <f>ROUNDUP(J41/E41,0)*0.005</f>
        <v>0</v>
      </c>
      <c r="M41" s="26">
        <f>J41*0.005+(ROUNDUP(J41/E41,0)*0.116)</f>
        <v>0</v>
      </c>
    </row>
    <row r="42" spans="1:13" ht="45" customHeight="1">
      <c r="A42" s="27">
        <f t="shared" si="0"/>
        <v>22</v>
      </c>
      <c r="B42" s="59"/>
      <c r="C42" s="36" t="s">
        <v>68</v>
      </c>
      <c r="D42" s="30" t="s">
        <v>352</v>
      </c>
      <c r="E42" s="31">
        <v>40</v>
      </c>
      <c r="F42" s="44" t="s">
        <v>67</v>
      </c>
      <c r="G42" s="131" t="s">
        <v>271</v>
      </c>
      <c r="H42" s="223">
        <v>9.1199999999999992</v>
      </c>
      <c r="I42" s="129"/>
      <c r="J42" s="128"/>
      <c r="K42" s="123">
        <f>IF(K18=0,J42*H42,H42/(K18/100+1)*J42)</f>
        <v>0</v>
      </c>
      <c r="L42" s="130">
        <f>ROUNDUP(J42/E42,0)*0.005</f>
        <v>0</v>
      </c>
      <c r="M42" s="26">
        <f>J42*0.009+(ROUNDUP(J42/E42,0)*0.116)</f>
        <v>0</v>
      </c>
    </row>
    <row r="43" spans="1:13" ht="45" customHeight="1" thickBot="1">
      <c r="A43" s="224">
        <f t="shared" si="0"/>
        <v>23</v>
      </c>
      <c r="B43" s="53"/>
      <c r="C43" s="54" t="s">
        <v>69</v>
      </c>
      <c r="D43" s="50" t="s">
        <v>353</v>
      </c>
      <c r="E43" s="51">
        <v>8</v>
      </c>
      <c r="F43" s="60" t="s">
        <v>70</v>
      </c>
      <c r="G43" s="137" t="s">
        <v>272</v>
      </c>
      <c r="H43" s="225">
        <v>228.05</v>
      </c>
      <c r="I43" s="129"/>
      <c r="J43" s="138"/>
      <c r="K43" s="139">
        <f>IF(K18=0,J43*H43,H43/(K18/100+1)*J43)</f>
        <v>0</v>
      </c>
      <c r="L43" s="130">
        <f>ROUNDUP(J43/E43,0)*0.08</f>
        <v>0</v>
      </c>
      <c r="M43" s="26">
        <f>J43*0.56+(ROUNDUP(J43/E43,0)*0.855)</f>
        <v>0</v>
      </c>
    </row>
    <row r="44" spans="1:13" ht="16.5" thickBot="1">
      <c r="A44" s="237" t="s">
        <v>71</v>
      </c>
      <c r="B44" s="238"/>
      <c r="C44" s="238"/>
      <c r="D44" s="238"/>
      <c r="E44" s="238"/>
      <c r="F44" s="238"/>
      <c r="G44" s="238"/>
      <c r="H44" s="239"/>
      <c r="I44" s="140"/>
      <c r="J44" s="61"/>
      <c r="K44" s="141"/>
      <c r="L44" s="142"/>
      <c r="M44" s="143"/>
    </row>
    <row r="45" spans="1:13" ht="45" customHeight="1">
      <c r="A45" s="55">
        <f>A43+1</f>
        <v>24</v>
      </c>
      <c r="B45" s="62"/>
      <c r="C45" s="56" t="s">
        <v>72</v>
      </c>
      <c r="D45" s="63" t="s">
        <v>73</v>
      </c>
      <c r="E45" s="23">
        <v>55</v>
      </c>
      <c r="F45" s="144" t="s">
        <v>74</v>
      </c>
      <c r="G45" s="119" t="s">
        <v>273</v>
      </c>
      <c r="H45" s="228">
        <v>10.5</v>
      </c>
      <c r="I45" s="129"/>
      <c r="J45" s="122"/>
      <c r="K45" s="123">
        <f>IF(K18=0,J45*H45,H45/(K18/100+1)*J45)</f>
        <v>0</v>
      </c>
      <c r="L45" s="130">
        <f t="shared" ref="L45:L52" si="2">ROUNDUP(J45/E45,0)*0.051</f>
        <v>0</v>
      </c>
      <c r="M45" s="26">
        <f>J45*0.064+(ROUNDUP(J45/E45,0)*0.73)</f>
        <v>0</v>
      </c>
    </row>
    <row r="46" spans="1:13" ht="45" customHeight="1">
      <c r="A46" s="27">
        <f t="shared" si="0"/>
        <v>25</v>
      </c>
      <c r="B46" s="64"/>
      <c r="C46" s="36" t="s">
        <v>75</v>
      </c>
      <c r="D46" s="46" t="s">
        <v>76</v>
      </c>
      <c r="E46" s="47">
        <v>55</v>
      </c>
      <c r="F46" s="145" t="s">
        <v>74</v>
      </c>
      <c r="G46" s="125" t="s">
        <v>273</v>
      </c>
      <c r="H46" s="33">
        <v>12.7</v>
      </c>
      <c r="I46" s="129"/>
      <c r="J46" s="128"/>
      <c r="K46" s="123">
        <f>IF(K18=0,J46*H46,H46/(K18/100+1)*J46)</f>
        <v>0</v>
      </c>
      <c r="L46" s="130">
        <f t="shared" si="2"/>
        <v>0</v>
      </c>
      <c r="M46" s="26">
        <f>J46*0.064+(ROUNDUP(J46/E46,0)*0.73)</f>
        <v>0</v>
      </c>
    </row>
    <row r="47" spans="1:13" ht="45" customHeight="1">
      <c r="A47" s="27">
        <f t="shared" si="0"/>
        <v>26</v>
      </c>
      <c r="B47" s="64"/>
      <c r="C47" s="36" t="s">
        <v>77</v>
      </c>
      <c r="D47" s="46" t="s">
        <v>78</v>
      </c>
      <c r="E47" s="47">
        <v>50</v>
      </c>
      <c r="F47" s="145" t="s">
        <v>79</v>
      </c>
      <c r="G47" s="125" t="s">
        <v>273</v>
      </c>
      <c r="H47" s="33">
        <v>10.8</v>
      </c>
      <c r="I47" s="129"/>
      <c r="J47" s="128"/>
      <c r="K47" s="123">
        <f>IF(K18=0,J47*H47,H47/(K18/100+1)*J47)</f>
        <v>0</v>
      </c>
      <c r="L47" s="130">
        <f t="shared" si="2"/>
        <v>0</v>
      </c>
      <c r="M47" s="26">
        <f>J47*0.077+(ROUNDUP(J47/E47,0)*0.53)</f>
        <v>0</v>
      </c>
    </row>
    <row r="48" spans="1:13" ht="45" customHeight="1">
      <c r="A48" s="27">
        <f t="shared" si="0"/>
        <v>27</v>
      </c>
      <c r="B48" s="64"/>
      <c r="C48" s="36" t="s">
        <v>80</v>
      </c>
      <c r="D48" s="46" t="s">
        <v>81</v>
      </c>
      <c r="E48" s="47">
        <v>50</v>
      </c>
      <c r="F48" s="145" t="s">
        <v>79</v>
      </c>
      <c r="G48" s="125" t="s">
        <v>273</v>
      </c>
      <c r="H48" s="33">
        <v>13.4</v>
      </c>
      <c r="I48" s="129"/>
      <c r="J48" s="128"/>
      <c r="K48" s="123">
        <f>IF(K18=0,J48*H48,H48/(K18/100+1)*J48)</f>
        <v>0</v>
      </c>
      <c r="L48" s="130">
        <f t="shared" si="2"/>
        <v>0</v>
      </c>
      <c r="M48" s="26">
        <f>J48*0.077+(ROUNDUP(J48/E48,0)*0.53)</f>
        <v>0</v>
      </c>
    </row>
    <row r="49" spans="1:14" ht="51" customHeight="1">
      <c r="A49" s="27">
        <f t="shared" si="0"/>
        <v>28</v>
      </c>
      <c r="B49" s="64"/>
      <c r="C49" s="36" t="s">
        <v>82</v>
      </c>
      <c r="D49" s="46" t="s">
        <v>335</v>
      </c>
      <c r="E49" s="47">
        <v>50</v>
      </c>
      <c r="F49" s="145" t="s">
        <v>83</v>
      </c>
      <c r="G49" s="125" t="s">
        <v>273</v>
      </c>
      <c r="H49" s="33">
        <v>13.52</v>
      </c>
      <c r="I49" s="129"/>
      <c r="J49" s="128"/>
      <c r="K49" s="123">
        <f>IF(K18=0,J49*H49,H49/(K18/100+1)*J49)</f>
        <v>0</v>
      </c>
      <c r="L49" s="130">
        <f t="shared" si="2"/>
        <v>0</v>
      </c>
      <c r="M49" s="26">
        <f>J49*0.061+(ROUNDUP(J49/E49,0)*0.53)</f>
        <v>0</v>
      </c>
    </row>
    <row r="50" spans="1:14" ht="47.25" customHeight="1">
      <c r="A50" s="27">
        <f t="shared" si="0"/>
        <v>29</v>
      </c>
      <c r="B50" s="64"/>
      <c r="C50" s="36" t="s">
        <v>84</v>
      </c>
      <c r="D50" s="65" t="s">
        <v>336</v>
      </c>
      <c r="E50" s="31">
        <v>50</v>
      </c>
      <c r="F50" s="146" t="s">
        <v>83</v>
      </c>
      <c r="G50" s="125" t="s">
        <v>273</v>
      </c>
      <c r="H50" s="33">
        <v>14.9</v>
      </c>
      <c r="I50" s="129"/>
      <c r="J50" s="128"/>
      <c r="K50" s="123">
        <f>IF(K18=0,J50*H50,H50/(K18/100+1)*J50)</f>
        <v>0</v>
      </c>
      <c r="L50" s="130">
        <f t="shared" si="2"/>
        <v>0</v>
      </c>
      <c r="M50" s="26">
        <f>J50*0.061+(ROUNDUP(J50/E50,0)*0.53)</f>
        <v>0</v>
      </c>
    </row>
    <row r="51" spans="1:14" ht="55.5" customHeight="1">
      <c r="A51" s="27">
        <f t="shared" si="0"/>
        <v>30</v>
      </c>
      <c r="B51" s="64"/>
      <c r="C51" s="36" t="s">
        <v>85</v>
      </c>
      <c r="D51" s="46" t="s">
        <v>337</v>
      </c>
      <c r="E51" s="47">
        <v>45</v>
      </c>
      <c r="F51" s="145" t="s">
        <v>86</v>
      </c>
      <c r="G51" s="125" t="s">
        <v>273</v>
      </c>
      <c r="H51" s="33">
        <v>12.8</v>
      </c>
      <c r="I51" s="129"/>
      <c r="J51" s="128"/>
      <c r="K51" s="123">
        <f>IF(K18=0,J51*H51,H51/(K18/100+1)*J51)</f>
        <v>0</v>
      </c>
      <c r="L51" s="130">
        <f t="shared" si="2"/>
        <v>0</v>
      </c>
      <c r="M51" s="26">
        <f>J51*0.068+(ROUNDUP(J51/E51,0)*0.53)</f>
        <v>0</v>
      </c>
    </row>
    <row r="52" spans="1:14" ht="45" customHeight="1">
      <c r="A52" s="27">
        <f t="shared" si="0"/>
        <v>31</v>
      </c>
      <c r="B52" s="64"/>
      <c r="C52" s="36" t="s">
        <v>87</v>
      </c>
      <c r="D52" s="46" t="s">
        <v>88</v>
      </c>
      <c r="E52" s="47">
        <v>45</v>
      </c>
      <c r="F52" s="145" t="s">
        <v>86</v>
      </c>
      <c r="G52" s="125" t="s">
        <v>273</v>
      </c>
      <c r="H52" s="33">
        <v>15.5</v>
      </c>
      <c r="I52" s="129"/>
      <c r="J52" s="128"/>
      <c r="K52" s="123">
        <f>IF(K18=0,J52*H52,H52/(K18/100+1)*J52)</f>
        <v>0</v>
      </c>
      <c r="L52" s="130">
        <f t="shared" si="2"/>
        <v>0</v>
      </c>
      <c r="M52" s="26">
        <f>J52*0.068+(ROUNDUP(J52/E52,0)*0.53)</f>
        <v>0</v>
      </c>
    </row>
    <row r="53" spans="1:14" ht="45" customHeight="1">
      <c r="A53" s="27">
        <f t="shared" si="0"/>
        <v>32</v>
      </c>
      <c r="B53" s="28"/>
      <c r="C53" s="36" t="s">
        <v>89</v>
      </c>
      <c r="D53" s="30" t="s">
        <v>338</v>
      </c>
      <c r="E53" s="31">
        <v>60</v>
      </c>
      <c r="F53" s="147" t="s">
        <v>90</v>
      </c>
      <c r="G53" s="131" t="s">
        <v>263</v>
      </c>
      <c r="H53" s="223">
        <v>16.170000000000002</v>
      </c>
      <c r="I53" s="129"/>
      <c r="J53" s="128"/>
      <c r="K53" s="123">
        <f>IF(K18=0,J53*H53,H53/(K18/100+1)*J53)</f>
        <v>0</v>
      </c>
      <c r="L53" s="130">
        <f>ROUNDUP(J53/E53,0)*0.076</f>
        <v>0</v>
      </c>
      <c r="M53" s="26">
        <f>J53*0.077+(ROUNDUP(J53/E53,0)*0.73)</f>
        <v>0</v>
      </c>
    </row>
    <row r="54" spans="1:14" ht="45" customHeight="1">
      <c r="A54" s="27">
        <f t="shared" si="0"/>
        <v>33</v>
      </c>
      <c r="B54" s="28"/>
      <c r="C54" s="36" t="s">
        <v>91</v>
      </c>
      <c r="D54" s="30" t="s">
        <v>339</v>
      </c>
      <c r="E54" s="31">
        <v>60</v>
      </c>
      <c r="F54" s="147" t="s">
        <v>90</v>
      </c>
      <c r="G54" s="131" t="s">
        <v>263</v>
      </c>
      <c r="H54" s="223">
        <v>17.2</v>
      </c>
      <c r="I54" s="129"/>
      <c r="J54" s="128"/>
      <c r="K54" s="123">
        <f>IF(K18=0,J54*H54,H54/(K18/100+1)*J54)</f>
        <v>0</v>
      </c>
      <c r="L54" s="130">
        <f>ROUNDUP(J54/E54,0)*0.076</f>
        <v>0</v>
      </c>
      <c r="M54" s="26">
        <f>J54*0.077+(ROUNDUP(J54/E54,0)*0.73)</f>
        <v>0</v>
      </c>
    </row>
    <row r="55" spans="1:14" ht="50.25" customHeight="1">
      <c r="A55" s="27">
        <f t="shared" si="0"/>
        <v>34</v>
      </c>
      <c r="B55" s="64"/>
      <c r="C55" s="36" t="s">
        <v>92</v>
      </c>
      <c r="D55" s="65" t="s">
        <v>340</v>
      </c>
      <c r="E55" s="31">
        <v>50</v>
      </c>
      <c r="F55" s="148" t="s">
        <v>93</v>
      </c>
      <c r="G55" s="125" t="s">
        <v>273</v>
      </c>
      <c r="H55" s="223">
        <v>13.87</v>
      </c>
      <c r="I55" s="129"/>
      <c r="J55" s="128"/>
      <c r="K55" s="123">
        <f>IF(K18=0,J55*H55,H55/(K18/100+1)*J55)</f>
        <v>0</v>
      </c>
      <c r="L55" s="130">
        <f>ROUNDUP(J55/E55,0)*0.051</f>
        <v>0</v>
      </c>
      <c r="M55" s="26">
        <f>J55*0.063+(ROUNDUP(J55/E55,0)*0.53)</f>
        <v>0</v>
      </c>
    </row>
    <row r="56" spans="1:14" ht="51" customHeight="1">
      <c r="A56" s="27">
        <f t="shared" si="0"/>
        <v>35</v>
      </c>
      <c r="B56" s="64"/>
      <c r="C56" s="36" t="s">
        <v>94</v>
      </c>
      <c r="D56" s="46" t="s">
        <v>341</v>
      </c>
      <c r="E56" s="47">
        <v>50</v>
      </c>
      <c r="F56" s="145" t="s">
        <v>93</v>
      </c>
      <c r="G56" s="125" t="s">
        <v>273</v>
      </c>
      <c r="H56" s="33">
        <v>15.25</v>
      </c>
      <c r="I56" s="129"/>
      <c r="J56" s="128"/>
      <c r="K56" s="123">
        <f>IF(K18=0,J56*H56,H56/(K18/100+1)*J56)</f>
        <v>0</v>
      </c>
      <c r="L56" s="130">
        <f>ROUNDUP(J56/E56,0)*0.051</f>
        <v>0</v>
      </c>
      <c r="M56" s="26">
        <f>J56*0.063+(ROUNDUP(J56/E56,0)*0.53)</f>
        <v>0</v>
      </c>
    </row>
    <row r="57" spans="1:14" ht="49.5" customHeight="1">
      <c r="A57" s="27">
        <f t="shared" si="0"/>
        <v>36</v>
      </c>
      <c r="B57" s="64"/>
      <c r="C57" s="36" t="s">
        <v>95</v>
      </c>
      <c r="D57" s="46" t="s">
        <v>342</v>
      </c>
      <c r="E57" s="47">
        <v>45</v>
      </c>
      <c r="F57" s="145" t="s">
        <v>96</v>
      </c>
      <c r="G57" s="125" t="s">
        <v>273</v>
      </c>
      <c r="H57" s="33">
        <v>13.15</v>
      </c>
      <c r="I57" s="129"/>
      <c r="J57" s="128"/>
      <c r="K57" s="123">
        <f>IF(K18=0,J57*H57,H57/(K18/100+1)*J57)</f>
        <v>0</v>
      </c>
      <c r="L57" s="130">
        <f>ROUNDUP(J57/E57,0)*0.051</f>
        <v>0</v>
      </c>
      <c r="M57" s="26">
        <f>J57*0.07+(ROUNDUP(J57/E57,0)*0.53)</f>
        <v>0</v>
      </c>
    </row>
    <row r="58" spans="1:14" ht="49.5" customHeight="1">
      <c r="A58" s="27">
        <f t="shared" si="0"/>
        <v>37</v>
      </c>
      <c r="B58" s="64"/>
      <c r="C58" s="36" t="s">
        <v>97</v>
      </c>
      <c r="D58" s="46" t="s">
        <v>343</v>
      </c>
      <c r="E58" s="66">
        <v>45</v>
      </c>
      <c r="F58" s="145" t="s">
        <v>96</v>
      </c>
      <c r="G58" s="125" t="s">
        <v>273</v>
      </c>
      <c r="H58" s="33">
        <v>15.85</v>
      </c>
      <c r="I58" s="129"/>
      <c r="J58" s="128"/>
      <c r="K58" s="123">
        <f>IF(K18=0,J58*H58,H58/(K18/100+1)*J58)</f>
        <v>0</v>
      </c>
      <c r="L58" s="130">
        <f>ROUNDUP(J58/E58,0)*0.051</f>
        <v>0</v>
      </c>
      <c r="M58" s="26">
        <f>J58*0.07+(ROUNDUP(J58/E58,0)*0.53)</f>
        <v>0</v>
      </c>
    </row>
    <row r="59" spans="1:14" ht="45" customHeight="1">
      <c r="A59" s="27">
        <f t="shared" si="0"/>
        <v>38</v>
      </c>
      <c r="B59" s="64"/>
      <c r="C59" s="36" t="s">
        <v>98</v>
      </c>
      <c r="D59" s="46" t="s">
        <v>99</v>
      </c>
      <c r="E59" s="47">
        <v>150</v>
      </c>
      <c r="F59" s="145" t="s">
        <v>100</v>
      </c>
      <c r="G59" s="125" t="s">
        <v>263</v>
      </c>
      <c r="H59" s="33">
        <v>10.52</v>
      </c>
      <c r="I59" s="129"/>
      <c r="J59" s="128"/>
      <c r="K59" s="123">
        <f>IF(K18=0,J59*H59,H59/(K18/100+1)*J59)</f>
        <v>0</v>
      </c>
      <c r="L59" s="130">
        <f>ROUNDUP(J59/E59,0)*0.076</f>
        <v>0</v>
      </c>
      <c r="M59" s="26">
        <f>J59*0.046+(ROUNDUP(J59/E59,0)*0.73)</f>
        <v>0</v>
      </c>
      <c r="N59" s="7"/>
    </row>
    <row r="60" spans="1:14" ht="45" customHeight="1">
      <c r="A60" s="27">
        <f t="shared" si="0"/>
        <v>39</v>
      </c>
      <c r="B60" s="28"/>
      <c r="C60" s="36" t="s">
        <v>101</v>
      </c>
      <c r="D60" s="30" t="s">
        <v>102</v>
      </c>
      <c r="E60" s="31">
        <v>15</v>
      </c>
      <c r="F60" s="147" t="s">
        <v>103</v>
      </c>
      <c r="G60" s="131" t="s">
        <v>274</v>
      </c>
      <c r="H60" s="226">
        <v>37.28155339805825</v>
      </c>
      <c r="I60" s="129"/>
      <c r="J60" s="149"/>
      <c r="K60" s="123">
        <f>IF(K18=0,J60*H60,H60/(K18/100+1)*J60)</f>
        <v>0</v>
      </c>
      <c r="L60" s="130">
        <f>ROUNDUP(J60/E60,0)*0.031</f>
        <v>0</v>
      </c>
      <c r="M60" s="26">
        <f>J60*0.168+(ROUNDUP(J60/E60,0)*0.06)</f>
        <v>0</v>
      </c>
    </row>
    <row r="61" spans="1:14" ht="45" customHeight="1">
      <c r="A61" s="27">
        <f t="shared" si="0"/>
        <v>40</v>
      </c>
      <c r="B61" s="28"/>
      <c r="C61" s="36" t="s">
        <v>104</v>
      </c>
      <c r="D61" s="30" t="s">
        <v>105</v>
      </c>
      <c r="E61" s="31">
        <v>15</v>
      </c>
      <c r="F61" s="147" t="s">
        <v>106</v>
      </c>
      <c r="G61" s="131" t="s">
        <v>275</v>
      </c>
      <c r="H61" s="226">
        <v>57.699029126213588</v>
      </c>
      <c r="I61" s="129"/>
      <c r="J61" s="149"/>
      <c r="K61" s="123">
        <f>IF(K18=0,J61*H61,H61/(K18/100+1)*J61)</f>
        <v>0</v>
      </c>
      <c r="L61" s="130">
        <f>ROUNDUP(J61/E61,0)*0.038</f>
        <v>0</v>
      </c>
      <c r="M61" s="26">
        <f>J61*0.22+(ROUNDUP(J61/E61,0)*0.06)</f>
        <v>0</v>
      </c>
    </row>
    <row r="62" spans="1:14" ht="45" customHeight="1">
      <c r="A62" s="27">
        <f t="shared" si="0"/>
        <v>41</v>
      </c>
      <c r="B62" s="67"/>
      <c r="C62" s="36" t="s">
        <v>107</v>
      </c>
      <c r="D62" s="30" t="s">
        <v>108</v>
      </c>
      <c r="E62" s="31">
        <v>10</v>
      </c>
      <c r="F62" s="145" t="s">
        <v>109</v>
      </c>
      <c r="G62" s="125" t="s">
        <v>276</v>
      </c>
      <c r="H62" s="226">
        <v>59.300970873786405</v>
      </c>
      <c r="I62" s="129"/>
      <c r="J62" s="149"/>
      <c r="K62" s="123">
        <f>IF(K18=0,J62*H62,H62/(K18/100+1)*J62)</f>
        <v>0</v>
      </c>
      <c r="L62" s="130">
        <f>ROUNDUP(J62/E62,0)*0.042</f>
        <v>0</v>
      </c>
      <c r="M62" s="26">
        <f>J62*0.466+(ROUNDUP(J62/E62,0)*0.19)</f>
        <v>0</v>
      </c>
    </row>
    <row r="63" spans="1:14" ht="45" customHeight="1">
      <c r="A63" s="27">
        <f t="shared" si="0"/>
        <v>42</v>
      </c>
      <c r="B63" s="64"/>
      <c r="C63" s="36" t="s">
        <v>110</v>
      </c>
      <c r="D63" s="46" t="s">
        <v>111</v>
      </c>
      <c r="E63" s="47">
        <v>10</v>
      </c>
      <c r="F63" s="145" t="s">
        <v>112</v>
      </c>
      <c r="G63" s="125" t="s">
        <v>277</v>
      </c>
      <c r="H63" s="226">
        <v>73.533980582524265</v>
      </c>
      <c r="I63" s="129"/>
      <c r="J63" s="149"/>
      <c r="K63" s="123">
        <f>IF(K18=0,J63*H63,H63/(K18/100+1)*J63)</f>
        <v>0</v>
      </c>
      <c r="L63" s="130">
        <f>ROUNDUP(J63/E63,0)*0.046</f>
        <v>0</v>
      </c>
      <c r="M63" s="26">
        <f>J63*0.321+(ROUNDUP(J63/E63,0)*0.19)</f>
        <v>0</v>
      </c>
    </row>
    <row r="64" spans="1:14" ht="45" customHeight="1">
      <c r="A64" s="27">
        <f t="shared" si="0"/>
        <v>43</v>
      </c>
      <c r="B64" s="28"/>
      <c r="C64" s="36" t="s">
        <v>113</v>
      </c>
      <c r="D64" s="30" t="s">
        <v>333</v>
      </c>
      <c r="E64" s="31">
        <v>10</v>
      </c>
      <c r="F64" s="147" t="s">
        <v>114</v>
      </c>
      <c r="G64" s="131" t="s">
        <v>278</v>
      </c>
      <c r="H64" s="226">
        <v>75.456310679611647</v>
      </c>
      <c r="I64" s="129"/>
      <c r="J64" s="149"/>
      <c r="K64" s="123">
        <f>IF(K18=0,J64*H64,H64/(K18/100+1)*J64)</f>
        <v>0</v>
      </c>
      <c r="L64" s="130">
        <f>ROUNDUP(J64/E64,0)*0.048</f>
        <v>0</v>
      </c>
      <c r="M64" s="26">
        <f>J64*0.386+(ROUNDUP(J64/E64,0)*0.19)</f>
        <v>0</v>
      </c>
    </row>
    <row r="65" spans="1:13" ht="45" customHeight="1">
      <c r="A65" s="27">
        <f t="shared" si="0"/>
        <v>44</v>
      </c>
      <c r="B65" s="28"/>
      <c r="C65" s="36" t="s">
        <v>115</v>
      </c>
      <c r="D65" s="30" t="s">
        <v>116</v>
      </c>
      <c r="E65" s="31">
        <v>10</v>
      </c>
      <c r="F65" s="145" t="s">
        <v>117</v>
      </c>
      <c r="G65" s="125" t="s">
        <v>279</v>
      </c>
      <c r="H65" s="226">
        <v>93.359223300970868</v>
      </c>
      <c r="I65" s="129"/>
      <c r="J65" s="149"/>
      <c r="K65" s="123">
        <f>IF(K18=0,J65*H65,H65/(K18/100+1)*J65)</f>
        <v>0</v>
      </c>
      <c r="L65" s="130">
        <f>ROUNDUP(J65/E65,0)*0.058</f>
        <v>0</v>
      </c>
      <c r="M65" s="26">
        <f>J65*0.68+(ROUNDUP(J65/E65,0)*0.585)</f>
        <v>0</v>
      </c>
    </row>
    <row r="66" spans="1:13" ht="45" customHeight="1">
      <c r="A66" s="27">
        <f t="shared" si="0"/>
        <v>45</v>
      </c>
      <c r="B66" s="64"/>
      <c r="C66" s="36" t="s">
        <v>118</v>
      </c>
      <c r="D66" s="46" t="s">
        <v>334</v>
      </c>
      <c r="E66" s="47">
        <v>10</v>
      </c>
      <c r="F66" s="145" t="s">
        <v>117</v>
      </c>
      <c r="G66" s="125" t="s">
        <v>279</v>
      </c>
      <c r="H66" s="226">
        <v>85.902912621359221</v>
      </c>
      <c r="I66" s="129"/>
      <c r="J66" s="149"/>
      <c r="K66" s="123">
        <f>IF(K18=0,J66*H66,H66/(K18/100+1)*J66)</f>
        <v>0</v>
      </c>
      <c r="L66" s="130">
        <f>ROUNDUP(J66/E66,0)*0.058</f>
        <v>0</v>
      </c>
      <c r="M66" s="26">
        <f>J66*0.68+(ROUNDUP(J66/E66,0)*0.585)</f>
        <v>0</v>
      </c>
    </row>
    <row r="67" spans="1:13" ht="45" customHeight="1">
      <c r="A67" s="27">
        <f t="shared" si="0"/>
        <v>46</v>
      </c>
      <c r="B67" s="28"/>
      <c r="C67" s="36" t="s">
        <v>119</v>
      </c>
      <c r="D67" s="30" t="s">
        <v>120</v>
      </c>
      <c r="E67" s="31">
        <v>16</v>
      </c>
      <c r="F67" s="147" t="s">
        <v>121</v>
      </c>
      <c r="G67" s="131" t="s">
        <v>280</v>
      </c>
      <c r="H67" s="226">
        <v>123.39805825242718</v>
      </c>
      <c r="I67" s="129"/>
      <c r="J67" s="149"/>
      <c r="K67" s="123">
        <f>IF(K18=0,J67*H67,H67/(K18/100+1)*J67)</f>
        <v>0</v>
      </c>
      <c r="L67" s="130">
        <f>ROUNDUP(J67/E67,0)*0.092</f>
        <v>0</v>
      </c>
      <c r="M67" s="26">
        <f>J67*0.546+(ROUNDUP(J67/E67,0)*0.735)</f>
        <v>0</v>
      </c>
    </row>
    <row r="68" spans="1:13" ht="45" customHeight="1">
      <c r="A68" s="27">
        <f t="shared" si="0"/>
        <v>47</v>
      </c>
      <c r="B68" s="28"/>
      <c r="C68" s="36" t="s">
        <v>122</v>
      </c>
      <c r="D68" s="30" t="s">
        <v>123</v>
      </c>
      <c r="E68" s="31">
        <v>16</v>
      </c>
      <c r="F68" s="147" t="s">
        <v>124</v>
      </c>
      <c r="G68" s="131" t="s">
        <v>280</v>
      </c>
      <c r="H68" s="226">
        <v>87.611650485436883</v>
      </c>
      <c r="I68" s="129"/>
      <c r="J68" s="149"/>
      <c r="K68" s="123">
        <f>IF(K18=0,J68*H68,H68/(K18/100+1)*J68)</f>
        <v>0</v>
      </c>
      <c r="L68" s="130">
        <f>ROUNDUP(J68/E68,0)*0.092</f>
        <v>0</v>
      </c>
      <c r="M68" s="26">
        <f>J68*0.448+(ROUNDUP(J68/E68,0)*0.735)</f>
        <v>0</v>
      </c>
    </row>
    <row r="69" spans="1:13" ht="45" customHeight="1">
      <c r="A69" s="27">
        <f t="shared" si="0"/>
        <v>48</v>
      </c>
      <c r="B69" s="28"/>
      <c r="C69" s="36" t="s">
        <v>125</v>
      </c>
      <c r="D69" s="30" t="s">
        <v>126</v>
      </c>
      <c r="E69" s="31">
        <v>21</v>
      </c>
      <c r="F69" s="148" t="s">
        <v>127</v>
      </c>
      <c r="G69" s="150" t="s">
        <v>281</v>
      </c>
      <c r="H69" s="33">
        <v>270.75</v>
      </c>
      <c r="I69" s="129"/>
      <c r="J69" s="128"/>
      <c r="K69" s="123">
        <f>IF(K18=0,J69*H69,H69/(K18/100+1)*J69)</f>
        <v>0</v>
      </c>
      <c r="L69" s="130">
        <f>ROUNDUP(J69/E69,0)*0.144</f>
        <v>0</v>
      </c>
      <c r="M69" s="26">
        <f>J69*0.738+(ROUNDUP(J69/E69,0)*1.03)</f>
        <v>0</v>
      </c>
    </row>
    <row r="70" spans="1:13" ht="45" customHeight="1">
      <c r="A70" s="27">
        <f t="shared" si="0"/>
        <v>49</v>
      </c>
      <c r="B70" s="64"/>
      <c r="C70" s="36" t="s">
        <v>128</v>
      </c>
      <c r="D70" s="46" t="s">
        <v>129</v>
      </c>
      <c r="E70" s="47">
        <v>40</v>
      </c>
      <c r="F70" s="145" t="s">
        <v>130</v>
      </c>
      <c r="G70" s="125" t="s">
        <v>269</v>
      </c>
      <c r="H70" s="33">
        <v>25.03</v>
      </c>
      <c r="I70" s="129"/>
      <c r="J70" s="128"/>
      <c r="K70" s="123">
        <f>IF(K18=0,J70*H70,H70/(K18/100+1)*J70)</f>
        <v>0</v>
      </c>
      <c r="L70" s="130">
        <f>ROUNDUP(J70/E70,0)*0.054</f>
        <v>0</v>
      </c>
      <c r="M70" s="26">
        <f>J70*0.07+(ROUNDUP(J70/E70,0)*0.585)</f>
        <v>0</v>
      </c>
    </row>
    <row r="71" spans="1:13" ht="45" customHeight="1">
      <c r="A71" s="27">
        <f t="shared" si="0"/>
        <v>50</v>
      </c>
      <c r="B71" s="64"/>
      <c r="C71" s="36" t="s">
        <v>131</v>
      </c>
      <c r="D71" s="46" t="s">
        <v>132</v>
      </c>
      <c r="E71" s="47">
        <v>90</v>
      </c>
      <c r="F71" s="145" t="s">
        <v>133</v>
      </c>
      <c r="G71" s="125" t="s">
        <v>269</v>
      </c>
      <c r="H71" s="33">
        <v>15.75</v>
      </c>
      <c r="I71" s="129"/>
      <c r="J71" s="128"/>
      <c r="K71" s="123">
        <f>IF(K18=0,J71*H71,H71/(K18/100+1)*J71)</f>
        <v>0</v>
      </c>
      <c r="L71" s="130">
        <f>ROUNDUP(J71/E71,0)*0.054</f>
        <v>0</v>
      </c>
      <c r="M71" s="26">
        <f>J71*0.038+(ROUNDUP(J71/E71,0)*0.585)</f>
        <v>0</v>
      </c>
    </row>
    <row r="72" spans="1:13" ht="45" customHeight="1">
      <c r="A72" s="27">
        <f t="shared" si="0"/>
        <v>51</v>
      </c>
      <c r="B72" s="28"/>
      <c r="C72" s="36" t="s">
        <v>134</v>
      </c>
      <c r="D72" s="30" t="s">
        <v>347</v>
      </c>
      <c r="E72" s="31">
        <v>90</v>
      </c>
      <c r="F72" s="147" t="s">
        <v>135</v>
      </c>
      <c r="G72" s="131" t="s">
        <v>269</v>
      </c>
      <c r="H72" s="223">
        <v>21.53</v>
      </c>
      <c r="I72" s="129"/>
      <c r="J72" s="128"/>
      <c r="K72" s="123">
        <f>IF(K18=0,J72*H72,H72/(K18/100+1)*J72)</f>
        <v>0</v>
      </c>
      <c r="L72" s="130">
        <f>ROUNDUP(J72/E72,0)*0.054</f>
        <v>0</v>
      </c>
      <c r="M72" s="26">
        <f>J72*0.052+(ROUNDUP(J72/E72,0)*0.585)</f>
        <v>0</v>
      </c>
    </row>
    <row r="73" spans="1:13" ht="45" customHeight="1">
      <c r="A73" s="27">
        <f t="shared" si="0"/>
        <v>52</v>
      </c>
      <c r="B73" s="64"/>
      <c r="C73" s="36" t="s">
        <v>136</v>
      </c>
      <c r="D73" s="46" t="s">
        <v>137</v>
      </c>
      <c r="E73" s="47">
        <v>22</v>
      </c>
      <c r="F73" s="145" t="s">
        <v>138</v>
      </c>
      <c r="G73" s="125" t="s">
        <v>280</v>
      </c>
      <c r="H73" s="33">
        <v>86.25</v>
      </c>
      <c r="I73" s="129"/>
      <c r="J73" s="128"/>
      <c r="K73" s="123">
        <f>IF(K18=0,J73*H73,H73/(K18/100+1)*J73)</f>
        <v>0</v>
      </c>
      <c r="L73" s="130">
        <f>ROUNDUP(J73/E73,0)*0.092</f>
        <v>0</v>
      </c>
      <c r="M73" s="26">
        <f>J73*0.249+(ROUNDUP(J73/E73,0)*0.735)</f>
        <v>0</v>
      </c>
    </row>
    <row r="74" spans="1:13" ht="45" customHeight="1">
      <c r="A74" s="27">
        <f t="shared" si="0"/>
        <v>53</v>
      </c>
      <c r="B74" s="64"/>
      <c r="C74" s="36" t="s">
        <v>139</v>
      </c>
      <c r="D74" s="46" t="s">
        <v>140</v>
      </c>
      <c r="E74" s="47">
        <v>16</v>
      </c>
      <c r="F74" s="145" t="s">
        <v>141</v>
      </c>
      <c r="G74" s="125" t="s">
        <v>280</v>
      </c>
      <c r="H74" s="33">
        <v>131.66999999999999</v>
      </c>
      <c r="I74" s="129"/>
      <c r="J74" s="128"/>
      <c r="K74" s="123">
        <f>IF(K18=0,J74*H74,H74/(K18/100+1)*J74)</f>
        <v>0</v>
      </c>
      <c r="L74" s="130">
        <f>ROUNDUP(J74/E74,0)*0.092</f>
        <v>0</v>
      </c>
      <c r="M74" s="26">
        <f>J74*0.387+(ROUNDUP(J74/E74,0)*0.735)</f>
        <v>0</v>
      </c>
    </row>
    <row r="75" spans="1:13" ht="45" customHeight="1">
      <c r="A75" s="27">
        <f t="shared" si="0"/>
        <v>54</v>
      </c>
      <c r="B75" s="64"/>
      <c r="C75" s="36" t="s">
        <v>142</v>
      </c>
      <c r="D75" s="46" t="s">
        <v>143</v>
      </c>
      <c r="E75" s="47">
        <v>12</v>
      </c>
      <c r="F75" s="145" t="s">
        <v>144</v>
      </c>
      <c r="G75" s="125" t="s">
        <v>280</v>
      </c>
      <c r="H75" s="33">
        <v>176.25</v>
      </c>
      <c r="I75" s="129"/>
      <c r="J75" s="128"/>
      <c r="K75" s="123">
        <f>IF(K18=0,J75*H75,H75/(K18/100+1)*J75)</f>
        <v>0</v>
      </c>
      <c r="L75" s="130">
        <f>ROUNDUP(J75/E75,0)*0.092</f>
        <v>0</v>
      </c>
      <c r="M75" s="26">
        <f>J75*0.525+(ROUNDUP(J75/E75,0)*0.735)</f>
        <v>0</v>
      </c>
    </row>
    <row r="76" spans="1:13" ht="45" customHeight="1">
      <c r="A76" s="27">
        <f t="shared" si="0"/>
        <v>55</v>
      </c>
      <c r="B76" s="28"/>
      <c r="C76" s="36" t="s">
        <v>145</v>
      </c>
      <c r="D76" s="30" t="s">
        <v>146</v>
      </c>
      <c r="E76" s="31">
        <v>30</v>
      </c>
      <c r="F76" s="147" t="s">
        <v>147</v>
      </c>
      <c r="G76" s="131" t="s">
        <v>264</v>
      </c>
      <c r="H76" s="33">
        <v>37.35</v>
      </c>
      <c r="I76" s="129"/>
      <c r="J76" s="128"/>
      <c r="K76" s="123">
        <f>IF(K18=0,J76*H76,H76/(K18/100+1)*J76)</f>
        <v>0</v>
      </c>
      <c r="L76" s="130">
        <f>ROUNDUP(J76/E76,0)*0.042</f>
        <v>0</v>
      </c>
      <c r="M76" s="26">
        <f>J76*0.183+(ROUNDUP(J76/E76,0)*0.19)</f>
        <v>0</v>
      </c>
    </row>
    <row r="77" spans="1:13" ht="45" customHeight="1">
      <c r="A77" s="27">
        <f t="shared" si="0"/>
        <v>56</v>
      </c>
      <c r="B77" s="64"/>
      <c r="C77" s="36" t="s">
        <v>148</v>
      </c>
      <c r="D77" s="46" t="s">
        <v>350</v>
      </c>
      <c r="E77" s="47">
        <v>30</v>
      </c>
      <c r="F77" s="145" t="s">
        <v>147</v>
      </c>
      <c r="G77" s="125" t="s">
        <v>264</v>
      </c>
      <c r="H77" s="33">
        <v>48.08</v>
      </c>
      <c r="I77" s="129"/>
      <c r="J77" s="128"/>
      <c r="K77" s="123">
        <f>IF(K18=0,J77*H77,H77/(K18/100+1)*J77)</f>
        <v>0</v>
      </c>
      <c r="L77" s="130">
        <f>ROUNDUP(J77/E77,0)*0.042</f>
        <v>0</v>
      </c>
      <c r="M77" s="26">
        <f>J77*0.183+(ROUNDUP(J77/E77,0)*0.19)</f>
        <v>0</v>
      </c>
    </row>
    <row r="78" spans="1:13" ht="45" customHeight="1">
      <c r="A78" s="27">
        <f t="shared" si="0"/>
        <v>57</v>
      </c>
      <c r="B78" s="28"/>
      <c r="C78" s="36" t="s">
        <v>149</v>
      </c>
      <c r="D78" s="30" t="s">
        <v>150</v>
      </c>
      <c r="E78" s="31">
        <v>45</v>
      </c>
      <c r="F78" s="148" t="s">
        <v>151</v>
      </c>
      <c r="G78" s="150" t="s">
        <v>269</v>
      </c>
      <c r="H78" s="33">
        <v>24.72</v>
      </c>
      <c r="I78" s="129"/>
      <c r="J78" s="128"/>
      <c r="K78" s="123">
        <f>IF(K18=0,J78*H78,H78/(K18/100+1)*J78)</f>
        <v>0</v>
      </c>
      <c r="L78" s="130">
        <f>ROUNDUP(J78/E78,0)*0.054</f>
        <v>0</v>
      </c>
      <c r="M78" s="26">
        <f>J78*0.07+(ROUNDUP(J78/E78,0)*0.585)</f>
        <v>0</v>
      </c>
    </row>
    <row r="79" spans="1:13" ht="45" customHeight="1">
      <c r="A79" s="27">
        <f t="shared" si="0"/>
        <v>58</v>
      </c>
      <c r="B79" s="28"/>
      <c r="C79" s="36" t="s">
        <v>152</v>
      </c>
      <c r="D79" s="30" t="s">
        <v>153</v>
      </c>
      <c r="E79" s="31">
        <v>10</v>
      </c>
      <c r="F79" s="148" t="s">
        <v>154</v>
      </c>
      <c r="G79" s="150" t="s">
        <v>282</v>
      </c>
      <c r="H79" s="226">
        <v>50.679611650485441</v>
      </c>
      <c r="I79" s="129"/>
      <c r="J79" s="149"/>
      <c r="K79" s="123">
        <f>IF(K18=0,J79*H79,H79/(K18/100+1)*J79)</f>
        <v>0</v>
      </c>
      <c r="L79" s="130">
        <f>ROUNDUP(J79/E79,0)*0.029</f>
        <v>0</v>
      </c>
      <c r="M79" s="26">
        <f>J79*0.26+(ROUNDUP(J79/E79,0)*0.1)</f>
        <v>0</v>
      </c>
    </row>
    <row r="80" spans="1:13" ht="45" customHeight="1">
      <c r="A80" s="27">
        <f t="shared" si="0"/>
        <v>59</v>
      </c>
      <c r="B80" s="28"/>
      <c r="C80" s="36" t="s">
        <v>155</v>
      </c>
      <c r="D80" s="30" t="s">
        <v>156</v>
      </c>
      <c r="E80" s="31">
        <v>10</v>
      </c>
      <c r="F80" s="148" t="s">
        <v>157</v>
      </c>
      <c r="G80" s="150" t="s">
        <v>283</v>
      </c>
      <c r="H80" s="226">
        <v>64.155339805825236</v>
      </c>
      <c r="I80" s="129"/>
      <c r="J80" s="149"/>
      <c r="K80" s="123">
        <f>IF(K18=0,J80*H80,H80/(K18/100+1)*J80)</f>
        <v>0</v>
      </c>
      <c r="L80" s="130">
        <f>ROUNDUP(J80/E80,0)*0.041</f>
        <v>0</v>
      </c>
      <c r="M80" s="26">
        <f>J80*0.328+(ROUNDUP(J80/E80,0)*0.057)</f>
        <v>0</v>
      </c>
    </row>
    <row r="81" spans="1:13" ht="45" customHeight="1" thickBot="1">
      <c r="A81" s="224">
        <f t="shared" si="0"/>
        <v>60</v>
      </c>
      <c r="B81" s="68"/>
      <c r="C81" s="54" t="s">
        <v>158</v>
      </c>
      <c r="D81" s="50" t="s">
        <v>159</v>
      </c>
      <c r="E81" s="51">
        <v>10</v>
      </c>
      <c r="F81" s="151" t="s">
        <v>160</v>
      </c>
      <c r="G81" s="152" t="s">
        <v>284</v>
      </c>
      <c r="H81" s="227">
        <v>76.50485436893203</v>
      </c>
      <c r="I81" s="129"/>
      <c r="J81" s="149"/>
      <c r="K81" s="139">
        <f>IF(K18=0,J81*H81,H81/(K18/100+1)*J81)</f>
        <v>0</v>
      </c>
      <c r="L81" s="130">
        <f>ROUNDUP(J81/E81,0)*0.053</f>
        <v>0</v>
      </c>
      <c r="M81" s="26">
        <f>J81*0.403+(ROUNDUP(J81/E81,0)*0.057)</f>
        <v>0</v>
      </c>
    </row>
    <row r="82" spans="1:13" ht="14.25" customHeight="1" thickBot="1">
      <c r="A82" s="237" t="s">
        <v>161</v>
      </c>
      <c r="B82" s="238"/>
      <c r="C82" s="238"/>
      <c r="D82" s="238"/>
      <c r="E82" s="238"/>
      <c r="F82" s="238"/>
      <c r="G82" s="238"/>
      <c r="H82" s="239"/>
      <c r="I82" s="116"/>
      <c r="J82" s="153"/>
      <c r="K82" s="153"/>
      <c r="L82" s="154"/>
      <c r="M82" s="155"/>
    </row>
    <row r="83" spans="1:13" ht="48" customHeight="1">
      <c r="A83" s="55">
        <f>A84+1</f>
        <v>63</v>
      </c>
      <c r="B83" s="230"/>
      <c r="C83" s="56" t="s">
        <v>285</v>
      </c>
      <c r="D83" s="231" t="s">
        <v>286</v>
      </c>
      <c r="E83" s="232" t="s">
        <v>287</v>
      </c>
      <c r="F83" s="233" t="s">
        <v>288</v>
      </c>
      <c r="G83" s="233" t="s">
        <v>288</v>
      </c>
      <c r="H83" s="228">
        <v>25</v>
      </c>
      <c r="I83" s="121"/>
      <c r="J83" s="128"/>
      <c r="K83" s="157">
        <f>IF(K18=0,J83*H83,H83/(K18/100+1)*J83)</f>
        <v>0</v>
      </c>
      <c r="L83" s="130">
        <f>0.05*0.06*0.085*J83</f>
        <v>0</v>
      </c>
      <c r="M83" s="158">
        <f>J83*0.04</f>
        <v>0</v>
      </c>
    </row>
    <row r="84" spans="1:13" ht="45" customHeight="1">
      <c r="A84" s="27">
        <f>A85+1</f>
        <v>62</v>
      </c>
      <c r="B84" s="159"/>
      <c r="C84" s="36" t="s">
        <v>289</v>
      </c>
      <c r="D84" s="160" t="s">
        <v>290</v>
      </c>
      <c r="E84" s="156">
        <v>20</v>
      </c>
      <c r="F84" s="156" t="s">
        <v>291</v>
      </c>
      <c r="G84" s="161" t="s">
        <v>292</v>
      </c>
      <c r="H84" s="33">
        <v>120</v>
      </c>
      <c r="I84" s="116"/>
      <c r="J84" s="162"/>
      <c r="K84" s="158">
        <f>IF(K18=0,J84*H84,H84/(K18/100+1)*J84)</f>
        <v>0</v>
      </c>
      <c r="L84" s="163">
        <f>ROUNDUP(J84/E84,0)*0.106</f>
        <v>0</v>
      </c>
      <c r="M84" s="26">
        <f>J84*0.106+(ROUNDUP(J84/E84,0)*0.75)</f>
        <v>0</v>
      </c>
    </row>
    <row r="85" spans="1:13" ht="172.5" customHeight="1">
      <c r="A85" s="27">
        <f>A81+1</f>
        <v>61</v>
      </c>
      <c r="B85" s="28"/>
      <c r="C85" s="36" t="s">
        <v>162</v>
      </c>
      <c r="D85" s="30" t="s">
        <v>163</v>
      </c>
      <c r="E85" s="31">
        <v>6</v>
      </c>
      <c r="F85" s="69" t="s">
        <v>164</v>
      </c>
      <c r="G85" s="164" t="s">
        <v>292</v>
      </c>
      <c r="H85" s="229" t="s">
        <v>293</v>
      </c>
      <c r="I85" s="121"/>
      <c r="J85" s="165">
        <f>Кулер!I31</f>
        <v>0</v>
      </c>
      <c r="K85" s="25">
        <f>Кулер!J31</f>
        <v>0</v>
      </c>
      <c r="L85" s="130">
        <f>ROUNDUP(J85/E85,0)*0.093</f>
        <v>0</v>
      </c>
      <c r="M85" s="26">
        <f>J85*0.74+(ROUNDUP(J85/E85,0)*0.75)</f>
        <v>0</v>
      </c>
    </row>
  </sheetData>
  <mergeCells count="17">
    <mergeCell ref="A9:H9"/>
    <mergeCell ref="A10:H10"/>
    <mergeCell ref="G11:H11"/>
    <mergeCell ref="A44:H44"/>
    <mergeCell ref="A4:H4"/>
    <mergeCell ref="A5:H5"/>
    <mergeCell ref="A6:H6"/>
    <mergeCell ref="A7:H7"/>
    <mergeCell ref="A8:H8"/>
    <mergeCell ref="A82:H82"/>
    <mergeCell ref="J13:M13"/>
    <mergeCell ref="J14:J16"/>
    <mergeCell ref="F17:H17"/>
    <mergeCell ref="J19:J20"/>
    <mergeCell ref="A20:H20"/>
    <mergeCell ref="L14:L16"/>
    <mergeCell ref="M14:M16"/>
  </mergeCells>
  <pageMargins left="0.7" right="0.7" top="0.2" bottom="0.2" header="0.2" footer="0.2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"/>
  <sheetViews>
    <sheetView topLeftCell="A2" workbookViewId="0">
      <selection activeCell="I32" sqref="I32"/>
    </sheetView>
  </sheetViews>
  <sheetFormatPr defaultRowHeight="15"/>
  <cols>
    <col min="1" max="1" width="9.28515625" customWidth="1"/>
    <col min="2" max="2" width="16.7109375" customWidth="1"/>
    <col min="4" max="4" width="37.5703125" customWidth="1"/>
    <col min="5" max="5" width="10.5703125" customWidth="1"/>
    <col min="10" max="10" width="12.42578125" customWidth="1"/>
  </cols>
  <sheetData>
    <row r="1" spans="2:10" ht="21">
      <c r="B1" s="283" t="s">
        <v>165</v>
      </c>
      <c r="C1" s="283"/>
      <c r="D1" s="283"/>
      <c r="E1" s="283"/>
      <c r="F1" s="283"/>
      <c r="G1" s="283"/>
      <c r="H1" s="283"/>
      <c r="I1" s="283"/>
      <c r="J1" s="283"/>
    </row>
    <row r="2" spans="2:10" ht="15.75">
      <c r="D2" s="70"/>
      <c r="E2" s="71"/>
      <c r="F2" s="72"/>
    </row>
    <row r="7" spans="2:10" ht="45">
      <c r="C7" s="73" t="s">
        <v>5</v>
      </c>
      <c r="D7" s="73" t="s">
        <v>166</v>
      </c>
      <c r="E7" s="73" t="s">
        <v>167</v>
      </c>
      <c r="F7" s="73" t="s">
        <v>168</v>
      </c>
      <c r="G7" s="74"/>
    </row>
    <row r="8" spans="2:10">
      <c r="C8" s="34">
        <v>1</v>
      </c>
      <c r="D8" s="34" t="s">
        <v>169</v>
      </c>
      <c r="E8" s="75" t="s">
        <v>170</v>
      </c>
      <c r="F8" s="34">
        <v>630</v>
      </c>
      <c r="G8" s="74"/>
    </row>
    <row r="9" spans="2:10">
      <c r="C9" s="34">
        <v>2</v>
      </c>
      <c r="D9" s="34" t="s">
        <v>171</v>
      </c>
      <c r="E9" s="75" t="s">
        <v>172</v>
      </c>
      <c r="F9" s="34">
        <v>600</v>
      </c>
      <c r="G9" s="74"/>
    </row>
    <row r="10" spans="2:10">
      <c r="C10" s="34">
        <v>3</v>
      </c>
      <c r="D10" s="34" t="s">
        <v>173</v>
      </c>
      <c r="E10" s="75" t="s">
        <v>174</v>
      </c>
      <c r="F10" s="34">
        <v>580</v>
      </c>
      <c r="G10" s="74"/>
    </row>
    <row r="11" spans="2:10">
      <c r="C11" s="34">
        <v>4</v>
      </c>
      <c r="D11" s="34" t="s">
        <v>175</v>
      </c>
      <c r="E11" s="75" t="s">
        <v>176</v>
      </c>
      <c r="F11" s="34">
        <v>490</v>
      </c>
      <c r="G11" s="74"/>
    </row>
    <row r="12" spans="2:10">
      <c r="C12" s="76"/>
      <c r="D12" s="76"/>
      <c r="E12" s="77"/>
      <c r="F12" s="76"/>
      <c r="G12" s="74"/>
    </row>
    <row r="13" spans="2:10" ht="15.75">
      <c r="B13" s="284" t="s">
        <v>177</v>
      </c>
      <c r="C13" s="284"/>
      <c r="D13" s="284"/>
      <c r="E13" s="284"/>
      <c r="F13" s="284"/>
      <c r="G13" s="284"/>
      <c r="H13" s="284"/>
      <c r="I13" s="284"/>
      <c r="J13" s="78"/>
    </row>
    <row r="14" spans="2:10" ht="15.75">
      <c r="B14" s="285" t="s">
        <v>178</v>
      </c>
      <c r="C14" s="285"/>
      <c r="D14" s="285"/>
      <c r="E14" s="285"/>
      <c r="F14" s="285"/>
      <c r="G14" s="285"/>
      <c r="H14" s="285"/>
      <c r="I14" s="285"/>
      <c r="J14" s="79"/>
    </row>
    <row r="15" spans="2:10" ht="15.75">
      <c r="B15" s="285" t="s">
        <v>179</v>
      </c>
      <c r="C15" s="285"/>
      <c r="D15" s="285"/>
      <c r="E15" s="285"/>
      <c r="F15" s="285"/>
      <c r="G15" s="285"/>
      <c r="H15" s="285"/>
      <c r="I15" s="285"/>
      <c r="J15" s="79"/>
    </row>
    <row r="16" spans="2:10">
      <c r="B16" s="286"/>
      <c r="C16" s="286"/>
      <c r="D16" s="286"/>
      <c r="E16" s="286"/>
      <c r="F16" s="286"/>
      <c r="G16" s="286"/>
      <c r="H16" s="286"/>
      <c r="I16" s="286"/>
      <c r="J16" s="79"/>
    </row>
    <row r="17" spans="1:11" ht="15.75">
      <c r="A17" s="287" t="s">
        <v>180</v>
      </c>
      <c r="B17" s="287"/>
      <c r="C17" s="287"/>
      <c r="D17" s="287"/>
      <c r="E17" s="287"/>
      <c r="F17" s="287"/>
      <c r="G17" s="287"/>
      <c r="H17" s="287"/>
      <c r="I17" s="287"/>
      <c r="J17" s="287"/>
    </row>
    <row r="18" spans="1:11" ht="15.75" thickBot="1"/>
    <row r="19" spans="1:11" ht="15.75">
      <c r="A19" s="80"/>
      <c r="B19" s="71"/>
      <c r="C19" s="71"/>
      <c r="D19" s="71"/>
      <c r="E19" s="71"/>
      <c r="F19" s="72"/>
      <c r="G19" s="81" t="s">
        <v>181</v>
      </c>
      <c r="H19" s="288"/>
      <c r="I19" s="289"/>
      <c r="J19" s="290"/>
      <c r="K19" s="82"/>
    </row>
    <row r="20" spans="1:11" ht="15.75">
      <c r="A20" s="80"/>
      <c r="B20" s="71"/>
      <c r="G20" s="83" t="s">
        <v>182</v>
      </c>
      <c r="H20" s="291"/>
      <c r="I20" s="292"/>
      <c r="J20" s="293"/>
      <c r="K20" s="82"/>
    </row>
    <row r="21" spans="1:11" ht="15.75">
      <c r="A21" s="80"/>
      <c r="B21" s="71"/>
      <c r="G21" s="83" t="s">
        <v>183</v>
      </c>
      <c r="H21" s="291"/>
      <c r="I21" s="292"/>
      <c r="J21" s="293"/>
      <c r="K21" s="82"/>
    </row>
    <row r="22" spans="1:11" ht="15.75">
      <c r="A22" s="84"/>
      <c r="B22" s="71"/>
      <c r="G22" s="83" t="s">
        <v>184</v>
      </c>
      <c r="H22" s="291"/>
      <c r="I22" s="292"/>
      <c r="J22" s="293"/>
      <c r="K22" s="82"/>
    </row>
    <row r="23" spans="1:11" ht="15.75">
      <c r="A23" s="84"/>
      <c r="B23" s="71"/>
      <c r="G23" s="83" t="s">
        <v>185</v>
      </c>
      <c r="H23" s="291"/>
      <c r="I23" s="292"/>
      <c r="J23" s="293"/>
      <c r="K23" s="82"/>
    </row>
    <row r="24" spans="1:11" ht="15.75">
      <c r="A24" s="84"/>
      <c r="B24" s="71"/>
      <c r="G24" s="85" t="s">
        <v>186</v>
      </c>
      <c r="H24" s="280"/>
      <c r="I24" s="281"/>
      <c r="J24" s="282"/>
      <c r="K24" s="82"/>
    </row>
    <row r="25" spans="1:11" ht="16.5" thickBot="1">
      <c r="A25" s="84"/>
      <c r="B25" s="71"/>
      <c r="C25" s="71"/>
      <c r="D25" s="86"/>
      <c r="E25" s="71"/>
      <c r="F25" s="72"/>
      <c r="G25" s="263" t="s">
        <v>187</v>
      </c>
      <c r="H25" s="265"/>
      <c r="I25" s="266"/>
      <c r="J25" s="267"/>
      <c r="K25" s="82"/>
    </row>
    <row r="26" spans="1:11" ht="16.5" thickBot="1">
      <c r="A26" s="84"/>
      <c r="B26" s="71"/>
      <c r="C26" s="71"/>
      <c r="D26" s="86"/>
      <c r="E26" s="71"/>
      <c r="F26" s="72"/>
      <c r="G26" s="263"/>
      <c r="H26" s="268"/>
      <c r="I26" s="269"/>
      <c r="J26" s="270"/>
      <c r="K26" s="82"/>
    </row>
    <row r="27" spans="1:11" ht="16.5" thickBot="1">
      <c r="A27" s="80"/>
      <c r="B27" s="71"/>
      <c r="C27" s="71"/>
      <c r="D27" s="86"/>
      <c r="E27" s="71"/>
      <c r="F27" s="72"/>
      <c r="G27" s="264"/>
      <c r="H27" s="271"/>
      <c r="I27" s="272"/>
      <c r="J27" s="273"/>
      <c r="K27" s="82"/>
    </row>
    <row r="28" spans="1:11" ht="16.5" thickBot="1">
      <c r="A28" s="87"/>
      <c r="B28" s="88" t="s">
        <v>188</v>
      </c>
      <c r="C28" s="89"/>
      <c r="D28" s="90"/>
      <c r="E28" s="91"/>
      <c r="F28" s="92"/>
      <c r="G28" s="93" t="s">
        <v>189</v>
      </c>
      <c r="H28" s="93"/>
      <c r="I28" s="94"/>
      <c r="J28" s="94"/>
    </row>
    <row r="29" spans="1:11" ht="21.75" thickTop="1">
      <c r="A29" s="95" t="s">
        <v>190</v>
      </c>
      <c r="B29" s="94"/>
      <c r="G29" s="96">
        <v>0</v>
      </c>
      <c r="H29" s="97"/>
      <c r="I29" s="98"/>
      <c r="J29" s="94"/>
    </row>
    <row r="30" spans="1:11" ht="63">
      <c r="A30" s="274" t="s">
        <v>191</v>
      </c>
      <c r="B30" s="275" t="s">
        <v>192</v>
      </c>
      <c r="C30" s="275" t="s">
        <v>7</v>
      </c>
      <c r="D30" s="275" t="s">
        <v>193</v>
      </c>
      <c r="E30" s="275" t="s">
        <v>194</v>
      </c>
      <c r="F30" s="276" t="s">
        <v>195</v>
      </c>
      <c r="G30" s="277" t="s">
        <v>196</v>
      </c>
      <c r="H30" s="278" t="s">
        <v>197</v>
      </c>
      <c r="I30" s="99" t="s">
        <v>198</v>
      </c>
      <c r="J30" s="100" t="s">
        <v>199</v>
      </c>
    </row>
    <row r="31" spans="1:11" ht="15.75">
      <c r="A31" s="274"/>
      <c r="B31" s="275"/>
      <c r="C31" s="275"/>
      <c r="D31" s="275"/>
      <c r="E31" s="275"/>
      <c r="F31" s="276"/>
      <c r="G31" s="277"/>
      <c r="H31" s="279"/>
      <c r="I31" s="99">
        <f>SUM(I32:I82)</f>
        <v>0</v>
      </c>
      <c r="J31" s="101">
        <f>SUM(J32:J87)</f>
        <v>0</v>
      </c>
    </row>
    <row r="32" spans="1:11" ht="54.95" customHeight="1">
      <c r="A32" s="34"/>
      <c r="B32" s="102">
        <v>4607069722469</v>
      </c>
      <c r="C32" s="34" t="s">
        <v>200</v>
      </c>
      <c r="D32" s="103" t="s">
        <v>201</v>
      </c>
      <c r="E32" s="104">
        <v>1100</v>
      </c>
      <c r="F32" s="104">
        <v>630</v>
      </c>
      <c r="G32" s="104">
        <f>IF($G$29=0,IF(AND($I$31&gt;=36,$I$31&lt;=54),$F32-30,IF($I$31&gt;54,$F32-50,$F32)),$F32-$F32*$G$29)</f>
        <v>630</v>
      </c>
      <c r="H32" s="34">
        <v>6</v>
      </c>
      <c r="I32" s="34">
        <v>0</v>
      </c>
      <c r="J32" s="104">
        <f>$G32*$I32</f>
        <v>0</v>
      </c>
    </row>
    <row r="33" spans="1:10" ht="54.95" customHeight="1">
      <c r="A33" s="34"/>
      <c r="B33" s="102">
        <v>4607069722476</v>
      </c>
      <c r="C33" s="34" t="s">
        <v>200</v>
      </c>
      <c r="D33" s="103" t="s">
        <v>202</v>
      </c>
      <c r="E33" s="104">
        <v>1100</v>
      </c>
      <c r="F33" s="104">
        <v>630</v>
      </c>
      <c r="G33" s="104">
        <f t="shared" ref="G33:G64" si="0">IF($G$29=0,IF(AND(SUM($I$32:$I$82)&gt;=36,SUM($I$32:$I$82)&lt;=54),$F33-30,IF(SUM($I$32:$I$82)&gt;54,$F33-50,$F33)),$F33-$F33*$G$29)</f>
        <v>630</v>
      </c>
      <c r="H33" s="34">
        <v>6</v>
      </c>
      <c r="I33" s="34">
        <v>0</v>
      </c>
      <c r="J33" s="104">
        <f t="shared" ref="J33:J82" si="1">$G33*$I33</f>
        <v>0</v>
      </c>
    </row>
    <row r="34" spans="1:10" ht="54.95" customHeight="1">
      <c r="A34" s="34"/>
      <c r="B34" s="102">
        <v>4607069722483</v>
      </c>
      <c r="C34" s="34" t="s">
        <v>200</v>
      </c>
      <c r="D34" s="103" t="s">
        <v>203</v>
      </c>
      <c r="E34" s="104">
        <v>1100</v>
      </c>
      <c r="F34" s="104">
        <v>630</v>
      </c>
      <c r="G34" s="104">
        <f t="shared" si="0"/>
        <v>630</v>
      </c>
      <c r="H34" s="34">
        <v>6</v>
      </c>
      <c r="I34" s="34">
        <v>0</v>
      </c>
      <c r="J34" s="104">
        <f t="shared" si="1"/>
        <v>0</v>
      </c>
    </row>
    <row r="35" spans="1:10" ht="54.95" customHeight="1">
      <c r="A35" s="34"/>
      <c r="B35" s="102">
        <v>4607069722490</v>
      </c>
      <c r="C35" s="34" t="s">
        <v>200</v>
      </c>
      <c r="D35" s="103" t="s">
        <v>204</v>
      </c>
      <c r="E35" s="104">
        <v>1100</v>
      </c>
      <c r="F35" s="104">
        <v>630</v>
      </c>
      <c r="G35" s="104">
        <f t="shared" si="0"/>
        <v>630</v>
      </c>
      <c r="H35" s="34">
        <v>6</v>
      </c>
      <c r="I35" s="34">
        <v>0</v>
      </c>
      <c r="J35" s="104">
        <f t="shared" si="1"/>
        <v>0</v>
      </c>
    </row>
    <row r="36" spans="1:10" ht="54.95" customHeight="1">
      <c r="A36" s="34"/>
      <c r="B36" s="102">
        <v>4607069722506</v>
      </c>
      <c r="C36" s="34" t="s">
        <v>200</v>
      </c>
      <c r="D36" s="103" t="s">
        <v>205</v>
      </c>
      <c r="E36" s="104">
        <v>1100</v>
      </c>
      <c r="F36" s="104">
        <v>630</v>
      </c>
      <c r="G36" s="104">
        <f t="shared" si="0"/>
        <v>630</v>
      </c>
      <c r="H36" s="34">
        <v>6</v>
      </c>
      <c r="I36" s="34">
        <v>0</v>
      </c>
      <c r="J36" s="104">
        <f t="shared" si="1"/>
        <v>0</v>
      </c>
    </row>
    <row r="37" spans="1:10" ht="54.95" customHeight="1">
      <c r="A37" s="34"/>
      <c r="B37" s="102">
        <v>4607069722513</v>
      </c>
      <c r="C37" s="34" t="s">
        <v>200</v>
      </c>
      <c r="D37" s="103" t="s">
        <v>206</v>
      </c>
      <c r="E37" s="104">
        <v>1100</v>
      </c>
      <c r="F37" s="104">
        <v>630</v>
      </c>
      <c r="G37" s="104">
        <f t="shared" si="0"/>
        <v>630</v>
      </c>
      <c r="H37" s="34">
        <v>6</v>
      </c>
      <c r="I37" s="34">
        <v>0</v>
      </c>
      <c r="J37" s="104">
        <f t="shared" si="1"/>
        <v>0</v>
      </c>
    </row>
    <row r="38" spans="1:10" ht="54.95" customHeight="1">
      <c r="A38" s="34"/>
      <c r="B38" s="102">
        <v>4607069700520</v>
      </c>
      <c r="C38" s="34" t="s">
        <v>200</v>
      </c>
      <c r="D38" s="103" t="s">
        <v>207</v>
      </c>
      <c r="E38" s="104">
        <v>1100</v>
      </c>
      <c r="F38" s="104">
        <v>630</v>
      </c>
      <c r="G38" s="104">
        <f t="shared" si="0"/>
        <v>630</v>
      </c>
      <c r="H38" s="34">
        <v>6</v>
      </c>
      <c r="I38" s="34">
        <v>0</v>
      </c>
      <c r="J38" s="104">
        <f t="shared" si="1"/>
        <v>0</v>
      </c>
    </row>
    <row r="39" spans="1:10" ht="54.95" customHeight="1">
      <c r="A39" s="34"/>
      <c r="B39" s="102">
        <v>4607069722537</v>
      </c>
      <c r="C39" s="34" t="s">
        <v>200</v>
      </c>
      <c r="D39" s="103" t="s">
        <v>208</v>
      </c>
      <c r="E39" s="104">
        <v>1100</v>
      </c>
      <c r="F39" s="104">
        <v>630</v>
      </c>
      <c r="G39" s="104">
        <f t="shared" si="0"/>
        <v>630</v>
      </c>
      <c r="H39" s="34">
        <v>6</v>
      </c>
      <c r="I39" s="34">
        <v>0</v>
      </c>
      <c r="J39" s="104">
        <f t="shared" si="1"/>
        <v>0</v>
      </c>
    </row>
    <row r="40" spans="1:10" ht="54.95" customHeight="1">
      <c r="A40" s="34"/>
      <c r="B40" s="102">
        <v>4607069722544</v>
      </c>
      <c r="C40" s="34" t="s">
        <v>200</v>
      </c>
      <c r="D40" s="103" t="s">
        <v>209</v>
      </c>
      <c r="E40" s="104">
        <v>1100</v>
      </c>
      <c r="F40" s="104">
        <v>630</v>
      </c>
      <c r="G40" s="104">
        <f t="shared" si="0"/>
        <v>630</v>
      </c>
      <c r="H40" s="34">
        <v>6</v>
      </c>
      <c r="I40" s="34">
        <v>0</v>
      </c>
      <c r="J40" s="104">
        <f t="shared" si="1"/>
        <v>0</v>
      </c>
    </row>
    <row r="41" spans="1:10" ht="54.95" customHeight="1">
      <c r="A41" s="34"/>
      <c r="B41" s="102">
        <v>4607069722568</v>
      </c>
      <c r="C41" s="34" t="s">
        <v>200</v>
      </c>
      <c r="D41" s="103" t="s">
        <v>210</v>
      </c>
      <c r="E41" s="104">
        <v>1100</v>
      </c>
      <c r="F41" s="104">
        <v>630</v>
      </c>
      <c r="G41" s="104">
        <f t="shared" si="0"/>
        <v>630</v>
      </c>
      <c r="H41" s="34">
        <v>6</v>
      </c>
      <c r="I41" s="34">
        <v>0</v>
      </c>
      <c r="J41" s="104">
        <f t="shared" si="1"/>
        <v>0</v>
      </c>
    </row>
    <row r="42" spans="1:10" ht="54.95" customHeight="1">
      <c r="A42" s="34"/>
      <c r="B42" s="102">
        <v>4607069722551</v>
      </c>
      <c r="C42" s="34" t="s">
        <v>200</v>
      </c>
      <c r="D42" s="103" t="s">
        <v>211</v>
      </c>
      <c r="E42" s="104">
        <v>1100</v>
      </c>
      <c r="F42" s="104">
        <v>630</v>
      </c>
      <c r="G42" s="104">
        <f t="shared" si="0"/>
        <v>630</v>
      </c>
      <c r="H42" s="34">
        <v>6</v>
      </c>
      <c r="I42" s="34">
        <v>0</v>
      </c>
      <c r="J42" s="104">
        <f t="shared" si="1"/>
        <v>0</v>
      </c>
    </row>
    <row r="43" spans="1:10" ht="54.95" customHeight="1">
      <c r="A43" s="34"/>
      <c r="B43" s="102">
        <v>4607069722582</v>
      </c>
      <c r="C43" s="34" t="s">
        <v>200</v>
      </c>
      <c r="D43" s="103" t="s">
        <v>212</v>
      </c>
      <c r="E43" s="104">
        <v>1100</v>
      </c>
      <c r="F43" s="104">
        <v>630</v>
      </c>
      <c r="G43" s="104">
        <f t="shared" si="0"/>
        <v>630</v>
      </c>
      <c r="H43" s="34">
        <v>6</v>
      </c>
      <c r="I43" s="34">
        <v>0</v>
      </c>
      <c r="J43" s="104">
        <f t="shared" si="1"/>
        <v>0</v>
      </c>
    </row>
    <row r="44" spans="1:10" ht="54.95" customHeight="1">
      <c r="A44" s="34"/>
      <c r="B44" s="102">
        <v>4607069722599</v>
      </c>
      <c r="C44" s="34" t="s">
        <v>200</v>
      </c>
      <c r="D44" s="103" t="s">
        <v>213</v>
      </c>
      <c r="E44" s="104">
        <v>1100</v>
      </c>
      <c r="F44" s="104">
        <v>630</v>
      </c>
      <c r="G44" s="104">
        <f t="shared" si="0"/>
        <v>630</v>
      </c>
      <c r="H44" s="34">
        <v>6</v>
      </c>
      <c r="I44" s="34">
        <v>0</v>
      </c>
      <c r="J44" s="104">
        <f t="shared" si="1"/>
        <v>0</v>
      </c>
    </row>
    <row r="45" spans="1:10" ht="54.95" customHeight="1">
      <c r="A45" s="34"/>
      <c r="B45" s="102">
        <v>4607069722605</v>
      </c>
      <c r="C45" s="34" t="s">
        <v>200</v>
      </c>
      <c r="D45" s="103" t="s">
        <v>214</v>
      </c>
      <c r="E45" s="104">
        <v>1100</v>
      </c>
      <c r="F45" s="104">
        <v>630</v>
      </c>
      <c r="G45" s="104">
        <f t="shared" si="0"/>
        <v>630</v>
      </c>
      <c r="H45" s="34">
        <v>6</v>
      </c>
      <c r="I45" s="34">
        <v>0</v>
      </c>
      <c r="J45" s="104">
        <f t="shared" si="1"/>
        <v>0</v>
      </c>
    </row>
    <row r="46" spans="1:10" ht="54.95" customHeight="1">
      <c r="A46" s="34"/>
      <c r="B46" s="102">
        <v>4607069722612</v>
      </c>
      <c r="C46" s="34" t="s">
        <v>200</v>
      </c>
      <c r="D46" s="103" t="s">
        <v>215</v>
      </c>
      <c r="E46" s="104">
        <v>1100</v>
      </c>
      <c r="F46" s="104">
        <v>630</v>
      </c>
      <c r="G46" s="104">
        <f t="shared" si="0"/>
        <v>630</v>
      </c>
      <c r="H46" s="34">
        <v>6</v>
      </c>
      <c r="I46" s="34">
        <v>0</v>
      </c>
      <c r="J46" s="104">
        <f t="shared" si="1"/>
        <v>0</v>
      </c>
    </row>
    <row r="47" spans="1:10" ht="54.95" customHeight="1">
      <c r="A47" s="34"/>
      <c r="B47" s="102">
        <v>4607069722629</v>
      </c>
      <c r="C47" s="34" t="s">
        <v>200</v>
      </c>
      <c r="D47" s="103" t="s">
        <v>216</v>
      </c>
      <c r="E47" s="104">
        <v>1100</v>
      </c>
      <c r="F47" s="104">
        <v>630</v>
      </c>
      <c r="G47" s="104">
        <f t="shared" si="0"/>
        <v>630</v>
      </c>
      <c r="H47" s="34">
        <v>6</v>
      </c>
      <c r="I47" s="34">
        <v>0</v>
      </c>
      <c r="J47" s="104">
        <f t="shared" si="1"/>
        <v>0</v>
      </c>
    </row>
    <row r="48" spans="1:10" ht="54.95" customHeight="1">
      <c r="A48" s="34"/>
      <c r="B48" s="102">
        <v>4607069722636</v>
      </c>
      <c r="C48" s="34" t="s">
        <v>200</v>
      </c>
      <c r="D48" s="103" t="s">
        <v>217</v>
      </c>
      <c r="E48" s="104">
        <v>1100</v>
      </c>
      <c r="F48" s="104">
        <v>630</v>
      </c>
      <c r="G48" s="104">
        <f t="shared" si="0"/>
        <v>630</v>
      </c>
      <c r="H48" s="34">
        <v>6</v>
      </c>
      <c r="I48" s="34">
        <v>0</v>
      </c>
      <c r="J48" s="104">
        <f t="shared" si="1"/>
        <v>0</v>
      </c>
    </row>
    <row r="49" spans="1:10" ht="54.95" customHeight="1">
      <c r="A49" s="34"/>
      <c r="B49" s="102">
        <v>4607069722650</v>
      </c>
      <c r="C49" s="34" t="s">
        <v>200</v>
      </c>
      <c r="D49" s="103" t="s">
        <v>218</v>
      </c>
      <c r="E49" s="104">
        <v>1100</v>
      </c>
      <c r="F49" s="104">
        <v>630</v>
      </c>
      <c r="G49" s="104">
        <f t="shared" si="0"/>
        <v>630</v>
      </c>
      <c r="H49" s="34">
        <v>6</v>
      </c>
      <c r="I49" s="34">
        <v>0</v>
      </c>
      <c r="J49" s="104">
        <f t="shared" si="1"/>
        <v>0</v>
      </c>
    </row>
    <row r="50" spans="1:10" ht="54.95" customHeight="1">
      <c r="A50" s="34"/>
      <c r="B50" s="102">
        <v>4607069722674</v>
      </c>
      <c r="C50" s="34" t="s">
        <v>200</v>
      </c>
      <c r="D50" s="103" t="s">
        <v>219</v>
      </c>
      <c r="E50" s="104">
        <v>1100</v>
      </c>
      <c r="F50" s="104">
        <v>630</v>
      </c>
      <c r="G50" s="104">
        <f t="shared" si="0"/>
        <v>630</v>
      </c>
      <c r="H50" s="34">
        <v>6</v>
      </c>
      <c r="I50" s="34">
        <v>0</v>
      </c>
      <c r="J50" s="104">
        <f t="shared" si="1"/>
        <v>0</v>
      </c>
    </row>
    <row r="51" spans="1:10" ht="54.95" customHeight="1">
      <c r="A51" s="34"/>
      <c r="B51" s="102">
        <v>4607069722667</v>
      </c>
      <c r="C51" s="34" t="s">
        <v>200</v>
      </c>
      <c r="D51" s="103" t="s">
        <v>220</v>
      </c>
      <c r="E51" s="104">
        <v>1100</v>
      </c>
      <c r="F51" s="104">
        <v>630</v>
      </c>
      <c r="G51" s="104">
        <f t="shared" si="0"/>
        <v>630</v>
      </c>
      <c r="H51" s="34">
        <v>6</v>
      </c>
      <c r="I51" s="34">
        <v>0</v>
      </c>
      <c r="J51" s="104">
        <f t="shared" si="1"/>
        <v>0</v>
      </c>
    </row>
    <row r="52" spans="1:10" ht="54.95" customHeight="1">
      <c r="A52" s="34"/>
      <c r="B52" s="102">
        <v>4607069722681</v>
      </c>
      <c r="C52" s="34" t="s">
        <v>200</v>
      </c>
      <c r="D52" s="103" t="s">
        <v>221</v>
      </c>
      <c r="E52" s="104">
        <v>1100</v>
      </c>
      <c r="F52" s="104">
        <v>630</v>
      </c>
      <c r="G52" s="104">
        <f t="shared" si="0"/>
        <v>630</v>
      </c>
      <c r="H52" s="34">
        <v>6</v>
      </c>
      <c r="I52" s="34">
        <v>0</v>
      </c>
      <c r="J52" s="104">
        <f t="shared" si="1"/>
        <v>0</v>
      </c>
    </row>
    <row r="53" spans="1:10" ht="54.95" customHeight="1">
      <c r="A53" s="34"/>
      <c r="B53" s="102">
        <v>4607069722698</v>
      </c>
      <c r="C53" s="34" t="s">
        <v>200</v>
      </c>
      <c r="D53" s="103" t="s">
        <v>222</v>
      </c>
      <c r="E53" s="104">
        <v>1100</v>
      </c>
      <c r="F53" s="104">
        <v>630</v>
      </c>
      <c r="G53" s="104">
        <f t="shared" si="0"/>
        <v>630</v>
      </c>
      <c r="H53" s="34">
        <v>6</v>
      </c>
      <c r="I53" s="34">
        <v>0</v>
      </c>
      <c r="J53" s="104">
        <f t="shared" si="1"/>
        <v>0</v>
      </c>
    </row>
    <row r="54" spans="1:10" ht="54.95" customHeight="1">
      <c r="A54" s="34"/>
      <c r="B54" s="102">
        <v>4607069722704</v>
      </c>
      <c r="C54" s="34" t="s">
        <v>200</v>
      </c>
      <c r="D54" s="103" t="s">
        <v>223</v>
      </c>
      <c r="E54" s="104">
        <v>1100</v>
      </c>
      <c r="F54" s="104">
        <v>630</v>
      </c>
      <c r="G54" s="104">
        <f t="shared" si="0"/>
        <v>630</v>
      </c>
      <c r="H54" s="34">
        <v>6</v>
      </c>
      <c r="I54" s="34">
        <v>0</v>
      </c>
      <c r="J54" s="104">
        <f t="shared" si="1"/>
        <v>0</v>
      </c>
    </row>
    <row r="55" spans="1:10" ht="54.95" customHeight="1">
      <c r="A55" s="34"/>
      <c r="B55" s="102">
        <v>4607069722711</v>
      </c>
      <c r="C55" s="34" t="s">
        <v>200</v>
      </c>
      <c r="D55" s="103" t="s">
        <v>224</v>
      </c>
      <c r="E55" s="104">
        <v>1100</v>
      </c>
      <c r="F55" s="104">
        <v>630</v>
      </c>
      <c r="G55" s="104">
        <f t="shared" si="0"/>
        <v>630</v>
      </c>
      <c r="H55" s="34">
        <v>6</v>
      </c>
      <c r="I55" s="34">
        <v>0</v>
      </c>
      <c r="J55" s="104">
        <f t="shared" si="1"/>
        <v>0</v>
      </c>
    </row>
    <row r="56" spans="1:10" ht="54.95" customHeight="1">
      <c r="A56" s="34"/>
      <c r="B56" s="102">
        <v>4607069722728</v>
      </c>
      <c r="C56" s="34" t="s">
        <v>200</v>
      </c>
      <c r="D56" s="103" t="s">
        <v>225</v>
      </c>
      <c r="E56" s="104">
        <v>1100</v>
      </c>
      <c r="F56" s="104">
        <v>630</v>
      </c>
      <c r="G56" s="104">
        <f t="shared" si="0"/>
        <v>630</v>
      </c>
      <c r="H56" s="34">
        <v>6</v>
      </c>
      <c r="I56" s="34">
        <v>0</v>
      </c>
      <c r="J56" s="104">
        <f t="shared" si="1"/>
        <v>0</v>
      </c>
    </row>
    <row r="57" spans="1:10" ht="54.95" customHeight="1">
      <c r="A57" s="34"/>
      <c r="B57" s="102">
        <v>4607069722735</v>
      </c>
      <c r="C57" s="34" t="s">
        <v>200</v>
      </c>
      <c r="D57" s="103" t="s">
        <v>226</v>
      </c>
      <c r="E57" s="104">
        <v>1100</v>
      </c>
      <c r="F57" s="104">
        <v>630</v>
      </c>
      <c r="G57" s="104">
        <f t="shared" si="0"/>
        <v>630</v>
      </c>
      <c r="H57" s="34">
        <v>6</v>
      </c>
      <c r="I57" s="34">
        <v>0</v>
      </c>
      <c r="J57" s="104">
        <f t="shared" si="1"/>
        <v>0</v>
      </c>
    </row>
    <row r="58" spans="1:10" ht="54.95" customHeight="1">
      <c r="A58" s="34"/>
      <c r="B58" s="102">
        <v>4607069722742</v>
      </c>
      <c r="C58" s="34" t="s">
        <v>200</v>
      </c>
      <c r="D58" s="103" t="s">
        <v>227</v>
      </c>
      <c r="E58" s="104">
        <v>1100</v>
      </c>
      <c r="F58" s="104">
        <v>630</v>
      </c>
      <c r="G58" s="104">
        <f t="shared" si="0"/>
        <v>630</v>
      </c>
      <c r="H58" s="34">
        <v>6</v>
      </c>
      <c r="I58" s="34">
        <v>0</v>
      </c>
      <c r="J58" s="104">
        <f t="shared" si="1"/>
        <v>0</v>
      </c>
    </row>
    <row r="59" spans="1:10" ht="54.95" customHeight="1">
      <c r="A59" s="34"/>
      <c r="B59" s="102">
        <v>4607069722759</v>
      </c>
      <c r="C59" s="34" t="s">
        <v>200</v>
      </c>
      <c r="D59" s="103" t="s">
        <v>228</v>
      </c>
      <c r="E59" s="104">
        <v>1100</v>
      </c>
      <c r="F59" s="104">
        <v>630</v>
      </c>
      <c r="G59" s="104">
        <f t="shared" si="0"/>
        <v>630</v>
      </c>
      <c r="H59" s="34">
        <v>6</v>
      </c>
      <c r="I59" s="34">
        <v>0</v>
      </c>
      <c r="J59" s="104">
        <f t="shared" si="1"/>
        <v>0</v>
      </c>
    </row>
    <row r="60" spans="1:10" ht="54.95" customHeight="1">
      <c r="A60" s="34"/>
      <c r="B60" s="102">
        <v>4607069722766</v>
      </c>
      <c r="C60" s="34" t="s">
        <v>200</v>
      </c>
      <c r="D60" s="103" t="s">
        <v>229</v>
      </c>
      <c r="E60" s="104">
        <v>1100</v>
      </c>
      <c r="F60" s="104">
        <v>630</v>
      </c>
      <c r="G60" s="104">
        <f t="shared" si="0"/>
        <v>630</v>
      </c>
      <c r="H60" s="34">
        <v>6</v>
      </c>
      <c r="I60" s="34">
        <v>0</v>
      </c>
      <c r="J60" s="104">
        <f t="shared" si="1"/>
        <v>0</v>
      </c>
    </row>
    <row r="61" spans="1:10" ht="54.95" customHeight="1">
      <c r="A61" s="34"/>
      <c r="B61" s="102">
        <v>4607069722773</v>
      </c>
      <c r="C61" s="34" t="s">
        <v>230</v>
      </c>
      <c r="D61" s="103" t="s">
        <v>231</v>
      </c>
      <c r="E61" s="104">
        <v>1100</v>
      </c>
      <c r="F61" s="104">
        <v>630</v>
      </c>
      <c r="G61" s="104">
        <f t="shared" si="0"/>
        <v>630</v>
      </c>
      <c r="H61" s="34">
        <v>6</v>
      </c>
      <c r="I61" s="34">
        <v>0</v>
      </c>
      <c r="J61" s="104">
        <f t="shared" si="1"/>
        <v>0</v>
      </c>
    </row>
    <row r="62" spans="1:10" ht="54.95" customHeight="1">
      <c r="A62" s="34"/>
      <c r="B62" s="102">
        <v>4607069722797</v>
      </c>
      <c r="C62" s="34" t="s">
        <v>230</v>
      </c>
      <c r="D62" s="103" t="s">
        <v>232</v>
      </c>
      <c r="E62" s="104">
        <v>1100</v>
      </c>
      <c r="F62" s="104">
        <v>630</v>
      </c>
      <c r="G62" s="104">
        <f t="shared" si="0"/>
        <v>630</v>
      </c>
      <c r="H62" s="34">
        <v>6</v>
      </c>
      <c r="I62" s="34">
        <v>0</v>
      </c>
      <c r="J62" s="104">
        <f t="shared" si="1"/>
        <v>0</v>
      </c>
    </row>
    <row r="63" spans="1:10" ht="54.95" customHeight="1">
      <c r="A63" s="34"/>
      <c r="B63" s="102">
        <v>4607069722803</v>
      </c>
      <c r="C63" s="34" t="s">
        <v>230</v>
      </c>
      <c r="D63" s="103" t="s">
        <v>233</v>
      </c>
      <c r="E63" s="104">
        <v>1100</v>
      </c>
      <c r="F63" s="104">
        <v>630</v>
      </c>
      <c r="G63" s="104">
        <f t="shared" si="0"/>
        <v>630</v>
      </c>
      <c r="H63" s="34">
        <v>6</v>
      </c>
      <c r="I63" s="34">
        <v>0</v>
      </c>
      <c r="J63" s="104">
        <f t="shared" si="1"/>
        <v>0</v>
      </c>
    </row>
    <row r="64" spans="1:10" ht="54.95" customHeight="1">
      <c r="A64" s="34"/>
      <c r="B64" s="102">
        <v>4607069722810</v>
      </c>
      <c r="C64" s="34" t="s">
        <v>230</v>
      </c>
      <c r="D64" s="103" t="s">
        <v>234</v>
      </c>
      <c r="E64" s="104">
        <v>1100</v>
      </c>
      <c r="F64" s="104">
        <v>630</v>
      </c>
      <c r="G64" s="104">
        <f t="shared" si="0"/>
        <v>630</v>
      </c>
      <c r="H64" s="34">
        <v>6</v>
      </c>
      <c r="I64" s="34">
        <v>0</v>
      </c>
      <c r="J64" s="104">
        <f t="shared" si="1"/>
        <v>0</v>
      </c>
    </row>
    <row r="65" spans="1:10" ht="54.95" customHeight="1">
      <c r="A65" s="34"/>
      <c r="B65" s="102">
        <v>4607069722827</v>
      </c>
      <c r="C65" s="34" t="s">
        <v>230</v>
      </c>
      <c r="D65" s="103" t="s">
        <v>235</v>
      </c>
      <c r="E65" s="104">
        <v>1100</v>
      </c>
      <c r="F65" s="104">
        <v>630</v>
      </c>
      <c r="G65" s="104">
        <f t="shared" ref="G65:G82" si="2">IF($G$29=0,IF(AND(SUM($I$32:$I$82)&gt;=36,SUM($I$32:$I$82)&lt;=54),$F65-30,IF(SUM($I$32:$I$82)&gt;54,$F65-50,$F65)),$F65-$F65*$G$29)</f>
        <v>630</v>
      </c>
      <c r="H65" s="34">
        <v>6</v>
      </c>
      <c r="I65" s="34">
        <v>0</v>
      </c>
      <c r="J65" s="104">
        <f t="shared" si="1"/>
        <v>0</v>
      </c>
    </row>
    <row r="66" spans="1:10" ht="54.95" customHeight="1">
      <c r="A66" s="34"/>
      <c r="B66" s="102">
        <v>4607069722834</v>
      </c>
      <c r="C66" s="34" t="s">
        <v>230</v>
      </c>
      <c r="D66" s="103" t="s">
        <v>236</v>
      </c>
      <c r="E66" s="104">
        <v>1100</v>
      </c>
      <c r="F66" s="104">
        <v>630</v>
      </c>
      <c r="G66" s="104">
        <f t="shared" si="2"/>
        <v>630</v>
      </c>
      <c r="H66" s="34">
        <v>6</v>
      </c>
      <c r="I66" s="34">
        <v>0</v>
      </c>
      <c r="J66" s="104">
        <f t="shared" si="1"/>
        <v>0</v>
      </c>
    </row>
    <row r="67" spans="1:10" ht="54.95" customHeight="1">
      <c r="A67" s="34"/>
      <c r="B67" s="102">
        <v>4607069722841</v>
      </c>
      <c r="C67" s="34" t="s">
        <v>230</v>
      </c>
      <c r="D67" s="103" t="s">
        <v>237</v>
      </c>
      <c r="E67" s="104">
        <v>1100</v>
      </c>
      <c r="F67" s="104">
        <v>630</v>
      </c>
      <c r="G67" s="104">
        <f t="shared" si="2"/>
        <v>630</v>
      </c>
      <c r="H67" s="34">
        <v>6</v>
      </c>
      <c r="I67" s="34">
        <v>0</v>
      </c>
      <c r="J67" s="104">
        <f t="shared" si="1"/>
        <v>0</v>
      </c>
    </row>
    <row r="68" spans="1:10" ht="54.95" customHeight="1">
      <c r="A68" s="34"/>
      <c r="B68" s="102">
        <v>4607069722858</v>
      </c>
      <c r="C68" s="34" t="s">
        <v>230</v>
      </c>
      <c r="D68" s="103" t="s">
        <v>238</v>
      </c>
      <c r="E68" s="104">
        <v>1100</v>
      </c>
      <c r="F68" s="104">
        <v>630</v>
      </c>
      <c r="G68" s="104">
        <f t="shared" si="2"/>
        <v>630</v>
      </c>
      <c r="H68" s="34">
        <v>6</v>
      </c>
      <c r="I68" s="34">
        <v>0</v>
      </c>
      <c r="J68" s="104">
        <f t="shared" si="1"/>
        <v>0</v>
      </c>
    </row>
    <row r="69" spans="1:10" ht="54.95" customHeight="1">
      <c r="A69" s="34"/>
      <c r="B69" s="102">
        <v>4607069722865</v>
      </c>
      <c r="C69" s="34" t="s">
        <v>230</v>
      </c>
      <c r="D69" s="103" t="s">
        <v>239</v>
      </c>
      <c r="E69" s="104">
        <v>1100</v>
      </c>
      <c r="F69" s="104">
        <v>630</v>
      </c>
      <c r="G69" s="104">
        <f t="shared" si="2"/>
        <v>630</v>
      </c>
      <c r="H69" s="34">
        <v>6</v>
      </c>
      <c r="I69" s="34">
        <v>0</v>
      </c>
      <c r="J69" s="104">
        <f t="shared" si="1"/>
        <v>0</v>
      </c>
    </row>
    <row r="70" spans="1:10" ht="54.95" customHeight="1">
      <c r="A70" s="34"/>
      <c r="B70" s="102">
        <v>4607069722872</v>
      </c>
      <c r="C70" s="34" t="s">
        <v>230</v>
      </c>
      <c r="D70" s="103" t="s">
        <v>240</v>
      </c>
      <c r="E70" s="104">
        <v>1100</v>
      </c>
      <c r="F70" s="104">
        <v>630</v>
      </c>
      <c r="G70" s="104">
        <f t="shared" si="2"/>
        <v>630</v>
      </c>
      <c r="H70" s="34">
        <v>6</v>
      </c>
      <c r="I70" s="34">
        <v>0</v>
      </c>
      <c r="J70" s="104">
        <f t="shared" si="1"/>
        <v>0</v>
      </c>
    </row>
    <row r="71" spans="1:10" ht="54.95" customHeight="1">
      <c r="A71" s="34"/>
      <c r="B71" s="102">
        <v>4607069722902</v>
      </c>
      <c r="C71" s="34" t="s">
        <v>230</v>
      </c>
      <c r="D71" s="103" t="s">
        <v>241</v>
      </c>
      <c r="E71" s="104">
        <v>1100</v>
      </c>
      <c r="F71" s="104">
        <v>630</v>
      </c>
      <c r="G71" s="104">
        <f t="shared" si="2"/>
        <v>630</v>
      </c>
      <c r="H71" s="34">
        <v>6</v>
      </c>
      <c r="I71" s="34">
        <v>0</v>
      </c>
      <c r="J71" s="104">
        <f t="shared" si="1"/>
        <v>0</v>
      </c>
    </row>
    <row r="72" spans="1:10" ht="54.95" customHeight="1">
      <c r="A72" s="34"/>
      <c r="B72" s="102">
        <v>4607069722919</v>
      </c>
      <c r="C72" s="34" t="s">
        <v>230</v>
      </c>
      <c r="D72" s="103" t="s">
        <v>242</v>
      </c>
      <c r="E72" s="104">
        <v>1100</v>
      </c>
      <c r="F72" s="104">
        <v>630</v>
      </c>
      <c r="G72" s="104">
        <f t="shared" si="2"/>
        <v>630</v>
      </c>
      <c r="H72" s="34">
        <v>6</v>
      </c>
      <c r="I72" s="34">
        <v>0</v>
      </c>
      <c r="J72" s="104">
        <f t="shared" si="1"/>
        <v>0</v>
      </c>
    </row>
    <row r="73" spans="1:10" ht="54.95" customHeight="1">
      <c r="A73" s="34"/>
      <c r="B73" s="102">
        <v>4607069722926</v>
      </c>
      <c r="C73" s="34" t="s">
        <v>230</v>
      </c>
      <c r="D73" s="103" t="s">
        <v>243</v>
      </c>
      <c r="E73" s="104">
        <v>1100</v>
      </c>
      <c r="F73" s="104">
        <v>630</v>
      </c>
      <c r="G73" s="104">
        <f t="shared" si="2"/>
        <v>630</v>
      </c>
      <c r="H73" s="34">
        <v>6</v>
      </c>
      <c r="I73" s="34">
        <v>0</v>
      </c>
      <c r="J73" s="104">
        <f t="shared" si="1"/>
        <v>0</v>
      </c>
    </row>
    <row r="74" spans="1:10" ht="54.95" customHeight="1">
      <c r="A74" s="34"/>
      <c r="B74" s="102">
        <v>4607069722933</v>
      </c>
      <c r="C74" s="34" t="s">
        <v>230</v>
      </c>
      <c r="D74" s="103" t="s">
        <v>244</v>
      </c>
      <c r="E74" s="104">
        <v>1100</v>
      </c>
      <c r="F74" s="104">
        <v>630</v>
      </c>
      <c r="G74" s="104">
        <f t="shared" si="2"/>
        <v>630</v>
      </c>
      <c r="H74" s="34">
        <v>6</v>
      </c>
      <c r="I74" s="34">
        <v>0</v>
      </c>
      <c r="J74" s="104">
        <f t="shared" si="1"/>
        <v>0</v>
      </c>
    </row>
    <row r="75" spans="1:10" ht="54.95" customHeight="1">
      <c r="A75" s="34"/>
      <c r="B75" s="102">
        <v>4607069722940</v>
      </c>
      <c r="C75" s="34" t="s">
        <v>230</v>
      </c>
      <c r="D75" s="103" t="s">
        <v>245</v>
      </c>
      <c r="E75" s="104">
        <v>1100</v>
      </c>
      <c r="F75" s="104">
        <v>630</v>
      </c>
      <c r="G75" s="104">
        <f t="shared" si="2"/>
        <v>630</v>
      </c>
      <c r="H75" s="34">
        <v>6</v>
      </c>
      <c r="I75" s="34">
        <v>0</v>
      </c>
      <c r="J75" s="104">
        <f t="shared" si="1"/>
        <v>0</v>
      </c>
    </row>
    <row r="76" spans="1:10" ht="54.95" customHeight="1">
      <c r="A76" s="34"/>
      <c r="B76" s="102">
        <v>4607069722957</v>
      </c>
      <c r="C76" s="34" t="s">
        <v>230</v>
      </c>
      <c r="D76" s="103" t="s">
        <v>246</v>
      </c>
      <c r="E76" s="104">
        <v>1100</v>
      </c>
      <c r="F76" s="104">
        <v>630</v>
      </c>
      <c r="G76" s="104">
        <f t="shared" si="2"/>
        <v>630</v>
      </c>
      <c r="H76" s="34">
        <v>6</v>
      </c>
      <c r="I76" s="34">
        <v>0</v>
      </c>
      <c r="J76" s="104">
        <f t="shared" si="1"/>
        <v>0</v>
      </c>
    </row>
    <row r="77" spans="1:10" ht="54.95" customHeight="1">
      <c r="A77" s="34"/>
      <c r="B77" s="102">
        <v>4607069722964</v>
      </c>
      <c r="C77" s="34" t="s">
        <v>230</v>
      </c>
      <c r="D77" s="103" t="s">
        <v>247</v>
      </c>
      <c r="E77" s="104">
        <v>1100</v>
      </c>
      <c r="F77" s="104">
        <v>630</v>
      </c>
      <c r="G77" s="104">
        <f t="shared" si="2"/>
        <v>630</v>
      </c>
      <c r="H77" s="34">
        <v>6</v>
      </c>
      <c r="I77" s="34">
        <v>0</v>
      </c>
      <c r="J77" s="104">
        <f t="shared" si="1"/>
        <v>0</v>
      </c>
    </row>
    <row r="78" spans="1:10" ht="54.95" customHeight="1">
      <c r="A78" s="34"/>
      <c r="B78" s="102">
        <v>4607069723039</v>
      </c>
      <c r="C78" s="34" t="s">
        <v>230</v>
      </c>
      <c r="D78" s="103" t="s">
        <v>248</v>
      </c>
      <c r="E78" s="104">
        <v>1100</v>
      </c>
      <c r="F78" s="104">
        <v>630</v>
      </c>
      <c r="G78" s="104">
        <f t="shared" si="2"/>
        <v>630</v>
      </c>
      <c r="H78" s="34">
        <v>6</v>
      </c>
      <c r="I78" s="34">
        <v>0</v>
      </c>
      <c r="J78" s="104">
        <f t="shared" si="1"/>
        <v>0</v>
      </c>
    </row>
    <row r="79" spans="1:10" ht="54.95" customHeight="1">
      <c r="A79" s="34"/>
      <c r="B79" s="102">
        <v>4607069723022</v>
      </c>
      <c r="C79" s="34" t="s">
        <v>230</v>
      </c>
      <c r="D79" s="103" t="s">
        <v>249</v>
      </c>
      <c r="E79" s="104">
        <v>1100</v>
      </c>
      <c r="F79" s="104">
        <v>630</v>
      </c>
      <c r="G79" s="104">
        <f t="shared" si="2"/>
        <v>630</v>
      </c>
      <c r="H79" s="34">
        <v>6</v>
      </c>
      <c r="I79" s="34">
        <v>0</v>
      </c>
      <c r="J79" s="104">
        <f t="shared" si="1"/>
        <v>0</v>
      </c>
    </row>
    <row r="80" spans="1:10" ht="54.95" customHeight="1">
      <c r="A80" s="34"/>
      <c r="B80" s="102">
        <v>4607069723015</v>
      </c>
      <c r="C80" s="34" t="s">
        <v>230</v>
      </c>
      <c r="D80" s="103" t="s">
        <v>250</v>
      </c>
      <c r="E80" s="104">
        <v>1100</v>
      </c>
      <c r="F80" s="104">
        <v>630</v>
      </c>
      <c r="G80" s="104">
        <f t="shared" si="2"/>
        <v>630</v>
      </c>
      <c r="H80" s="34">
        <v>6</v>
      </c>
      <c r="I80" s="34">
        <v>0</v>
      </c>
      <c r="J80" s="104">
        <f t="shared" si="1"/>
        <v>0</v>
      </c>
    </row>
    <row r="81" spans="1:10" ht="54.95" customHeight="1">
      <c r="A81" s="34"/>
      <c r="B81" s="102">
        <v>4607069723053</v>
      </c>
      <c r="C81" s="34" t="s">
        <v>230</v>
      </c>
      <c r="D81" s="103" t="s">
        <v>251</v>
      </c>
      <c r="E81" s="104">
        <v>1100</v>
      </c>
      <c r="F81" s="104">
        <v>630</v>
      </c>
      <c r="G81" s="104">
        <f t="shared" si="2"/>
        <v>630</v>
      </c>
      <c r="H81" s="34">
        <v>6</v>
      </c>
      <c r="I81" s="34">
        <v>0</v>
      </c>
      <c r="J81" s="104">
        <f t="shared" si="1"/>
        <v>0</v>
      </c>
    </row>
    <row r="82" spans="1:10" ht="54.95" customHeight="1">
      <c r="A82" s="34"/>
      <c r="B82" s="102">
        <v>4607069723060</v>
      </c>
      <c r="C82" s="34" t="s">
        <v>230</v>
      </c>
      <c r="D82" s="103" t="s">
        <v>252</v>
      </c>
      <c r="E82" s="104">
        <v>1100</v>
      </c>
      <c r="F82" s="104">
        <v>630</v>
      </c>
      <c r="G82" s="104">
        <f t="shared" si="2"/>
        <v>630</v>
      </c>
      <c r="H82" s="34">
        <v>6</v>
      </c>
      <c r="I82" s="34">
        <v>0</v>
      </c>
      <c r="J82" s="104">
        <f t="shared" si="1"/>
        <v>0</v>
      </c>
    </row>
  </sheetData>
  <mergeCells count="22">
    <mergeCell ref="H24:J24"/>
    <mergeCell ref="B1:J1"/>
    <mergeCell ref="B13:I13"/>
    <mergeCell ref="B14:I14"/>
    <mergeCell ref="B15:I15"/>
    <mergeCell ref="B16:I16"/>
    <mergeCell ref="A17:J17"/>
    <mergeCell ref="H19:J19"/>
    <mergeCell ref="H20:J20"/>
    <mergeCell ref="H21:J21"/>
    <mergeCell ref="H22:J22"/>
    <mergeCell ref="H23:J23"/>
    <mergeCell ref="G25:G27"/>
    <mergeCell ref="H25:J27"/>
    <mergeCell ref="A30:A31"/>
    <mergeCell ref="B30:B31"/>
    <mergeCell ref="C30:C31"/>
    <mergeCell ref="D30:D31"/>
    <mergeCell ref="E30:E31"/>
    <mergeCell ref="F30:F31"/>
    <mergeCell ref="G30:G31"/>
    <mergeCell ref="H30:H31"/>
  </mergeCells>
  <conditionalFormatting sqref="I31">
    <cfRule type="expression" dxfId="0" priority="1">
      <formula>IF(MOD($I$31,6)&gt;0,TRUE,FALSE)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zoomScaleNormal="100" workbookViewId="0">
      <selection activeCell="M22" sqref="M22"/>
    </sheetView>
  </sheetViews>
  <sheetFormatPr defaultRowHeight="15"/>
  <cols>
    <col min="1" max="1" width="2" customWidth="1"/>
    <col min="2" max="2" width="34.42578125" customWidth="1"/>
    <col min="3" max="3" width="10.42578125" customWidth="1"/>
    <col min="4" max="4" width="12.5703125" customWidth="1"/>
    <col min="5" max="5" width="12" customWidth="1"/>
    <col min="6" max="6" width="10.28515625" customWidth="1"/>
    <col min="7" max="7" width="13.85546875" customWidth="1"/>
    <col min="8" max="8" width="1" customWidth="1"/>
    <col min="9" max="9" width="12.42578125" customWidth="1"/>
    <col min="10" max="10" width="15.5703125" customWidth="1"/>
  </cols>
  <sheetData>
    <row r="1" spans="1:10" ht="18.75">
      <c r="A1" s="1"/>
      <c r="H1" s="168"/>
    </row>
    <row r="2" spans="1:10">
      <c r="H2" s="168"/>
    </row>
    <row r="3" spans="1:10" ht="15.75" thickBot="1">
      <c r="A3" s="4"/>
      <c r="B3" s="4"/>
      <c r="C3" s="4"/>
      <c r="D3" s="4"/>
      <c r="E3" s="4"/>
      <c r="F3" s="4"/>
      <c r="G3" s="4"/>
      <c r="H3" s="169"/>
    </row>
    <row r="4" spans="1:10" ht="15" customHeight="1">
      <c r="A4" s="296" t="s">
        <v>296</v>
      </c>
      <c r="B4" s="296"/>
      <c r="C4" s="296"/>
      <c r="D4" s="296"/>
      <c r="E4" s="296"/>
      <c r="F4" s="296"/>
      <c r="G4" s="296"/>
      <c r="H4" s="170"/>
    </row>
    <row r="5" spans="1:10" ht="15" customHeight="1" thickBot="1">
      <c r="A5" s="297" t="s">
        <v>331</v>
      </c>
      <c r="B5" s="297"/>
      <c r="C5" s="297"/>
      <c r="D5" s="297"/>
      <c r="E5" s="297"/>
      <c r="F5" s="297"/>
      <c r="G5" s="297"/>
      <c r="H5" s="171"/>
    </row>
    <row r="6" spans="1:10" ht="15" customHeight="1" thickBot="1">
      <c r="A6" s="298" t="s">
        <v>0</v>
      </c>
      <c r="B6" s="298"/>
      <c r="C6" s="298"/>
      <c r="D6" s="298"/>
      <c r="E6" s="298"/>
      <c r="F6" s="298"/>
      <c r="G6" s="298"/>
      <c r="H6" s="172"/>
      <c r="I6" s="240" t="s">
        <v>1</v>
      </c>
      <c r="J6" s="242"/>
    </row>
    <row r="7" spans="1:10" ht="13.5" customHeight="1">
      <c r="A7" s="298" t="s">
        <v>2</v>
      </c>
      <c r="B7" s="298"/>
      <c r="C7" s="298"/>
      <c r="D7" s="298"/>
      <c r="E7" s="298"/>
      <c r="F7" s="298"/>
      <c r="G7" s="298"/>
      <c r="H7" s="173"/>
      <c r="I7" s="299" t="s">
        <v>297</v>
      </c>
    </row>
    <row r="8" spans="1:10" ht="12" customHeight="1">
      <c r="A8" s="298" t="s">
        <v>354</v>
      </c>
      <c r="B8" s="298"/>
      <c r="C8" s="298"/>
      <c r="D8" s="298"/>
      <c r="E8" s="298"/>
      <c r="F8" s="298"/>
      <c r="G8" s="298"/>
      <c r="H8" s="173"/>
      <c r="I8" s="299"/>
    </row>
    <row r="9" spans="1:10" ht="15.75" thickBot="1">
      <c r="A9" s="300" t="s">
        <v>355</v>
      </c>
      <c r="B9" s="300"/>
      <c r="C9" s="300"/>
      <c r="D9" s="300"/>
      <c r="E9" s="300"/>
      <c r="F9" s="300"/>
      <c r="G9" s="300"/>
      <c r="H9" s="174"/>
      <c r="I9" s="299"/>
    </row>
    <row r="10" spans="1:10" ht="19.5" customHeight="1" thickTop="1">
      <c r="A10" s="7"/>
      <c r="B10" s="301" t="s">
        <v>298</v>
      </c>
      <c r="C10" s="301"/>
      <c r="D10" s="301"/>
      <c r="E10" s="301"/>
      <c r="F10" s="301"/>
      <c r="G10" s="301"/>
      <c r="H10" s="168"/>
      <c r="I10" s="299"/>
      <c r="J10" s="302">
        <v>0</v>
      </c>
    </row>
    <row r="11" spans="1:10" ht="6" customHeight="1" thickBot="1">
      <c r="A11" s="7"/>
      <c r="B11" s="175"/>
      <c r="C11" s="175"/>
      <c r="D11" s="175"/>
      <c r="E11" s="175"/>
      <c r="F11" s="175"/>
      <c r="G11" s="175"/>
      <c r="H11" s="168"/>
      <c r="I11" s="176"/>
      <c r="J11" s="303"/>
    </row>
    <row r="12" spans="1:10" ht="45.75" thickBot="1">
      <c r="B12" s="177" t="s">
        <v>299</v>
      </c>
      <c r="C12" s="178" t="s">
        <v>300</v>
      </c>
      <c r="D12" s="178" t="s">
        <v>301</v>
      </c>
      <c r="E12" s="178" t="s">
        <v>302</v>
      </c>
      <c r="F12" s="178" t="s">
        <v>303</v>
      </c>
      <c r="G12" s="179" t="s">
        <v>304</v>
      </c>
      <c r="H12" s="168"/>
      <c r="I12" s="180" t="s">
        <v>305</v>
      </c>
      <c r="J12" s="181" t="s">
        <v>12</v>
      </c>
    </row>
    <row r="13" spans="1:10" ht="19.5" thickBot="1">
      <c r="B13" s="294" t="s">
        <v>306</v>
      </c>
      <c r="C13" s="295"/>
      <c r="D13" s="295"/>
      <c r="E13" s="295"/>
      <c r="F13" s="295"/>
      <c r="G13" s="222"/>
      <c r="H13" s="168"/>
      <c r="I13" s="182"/>
      <c r="J13" s="183">
        <f>SUM(J14:J27)</f>
        <v>0</v>
      </c>
    </row>
    <row r="14" spans="1:10" ht="15.75">
      <c r="B14" s="184" t="s">
        <v>307</v>
      </c>
      <c r="C14" s="185" t="s">
        <v>308</v>
      </c>
      <c r="D14" s="185">
        <v>6</v>
      </c>
      <c r="E14" s="185">
        <v>30</v>
      </c>
      <c r="F14" s="185">
        <v>63.8</v>
      </c>
      <c r="G14" s="186">
        <v>15.99</v>
      </c>
      <c r="H14" s="168"/>
      <c r="I14" s="187"/>
      <c r="J14" s="188">
        <f>G14*I14/(J10/100+1)</f>
        <v>0</v>
      </c>
    </row>
    <row r="15" spans="1:10" ht="15.75">
      <c r="B15" s="189" t="s">
        <v>309</v>
      </c>
      <c r="C15" s="190" t="s">
        <v>310</v>
      </c>
      <c r="D15" s="190">
        <v>4.5</v>
      </c>
      <c r="E15" s="190">
        <v>20</v>
      </c>
      <c r="F15" s="190">
        <v>59.9</v>
      </c>
      <c r="G15" s="191">
        <v>10.53</v>
      </c>
      <c r="H15" s="168"/>
      <c r="I15" s="192"/>
      <c r="J15" s="193">
        <f>G15*I15/(J10/100+1)</f>
        <v>0</v>
      </c>
    </row>
    <row r="16" spans="1:10" ht="15.75">
      <c r="B16" s="189" t="s">
        <v>311</v>
      </c>
      <c r="C16" s="190" t="s">
        <v>312</v>
      </c>
      <c r="D16" s="190">
        <v>6</v>
      </c>
      <c r="E16" s="190">
        <v>30</v>
      </c>
      <c r="F16" s="190">
        <v>137.5</v>
      </c>
      <c r="G16" s="194">
        <v>21.8</v>
      </c>
      <c r="H16" s="168"/>
      <c r="I16" s="192"/>
      <c r="J16" s="193">
        <f>G16*I16/(J10/100+1)</f>
        <v>0</v>
      </c>
    </row>
    <row r="17" spans="2:10" ht="15.75">
      <c r="B17" s="189" t="s">
        <v>313</v>
      </c>
      <c r="C17" s="190" t="s">
        <v>314</v>
      </c>
      <c r="D17" s="190">
        <v>4.5</v>
      </c>
      <c r="E17" s="190">
        <v>20</v>
      </c>
      <c r="F17" s="190">
        <v>45.4</v>
      </c>
      <c r="G17" s="194">
        <v>8.1</v>
      </c>
      <c r="H17" s="168"/>
      <c r="I17" s="195"/>
      <c r="J17" s="193">
        <f>G17*I17/(J10/100+1)</f>
        <v>0</v>
      </c>
    </row>
    <row r="18" spans="2:10" ht="15.75">
      <c r="B18" s="189" t="s">
        <v>315</v>
      </c>
      <c r="C18" s="190" t="s">
        <v>316</v>
      </c>
      <c r="D18" s="190">
        <v>11</v>
      </c>
      <c r="E18" s="190">
        <v>10</v>
      </c>
      <c r="F18" s="190">
        <v>142.6</v>
      </c>
      <c r="G18" s="194">
        <v>23.6</v>
      </c>
      <c r="H18" s="168"/>
      <c r="I18" s="195"/>
      <c r="J18" s="193">
        <f>G18*I18/(J10/100+1)</f>
        <v>0</v>
      </c>
    </row>
    <row r="19" spans="2:10" ht="32.25" thickBot="1">
      <c r="B19" s="196" t="s">
        <v>317</v>
      </c>
      <c r="C19" s="197" t="s">
        <v>316</v>
      </c>
      <c r="D19" s="197">
        <v>11</v>
      </c>
      <c r="E19" s="197">
        <v>10</v>
      </c>
      <c r="F19" s="197">
        <v>142.6</v>
      </c>
      <c r="G19" s="198">
        <v>23.6</v>
      </c>
      <c r="H19" s="168"/>
      <c r="I19" s="199"/>
      <c r="J19" s="200">
        <f>G19*I19/(J10/100+1)</f>
        <v>0</v>
      </c>
    </row>
    <row r="20" spans="2:10" ht="15.75" thickBot="1">
      <c r="B20" s="294" t="s">
        <v>318</v>
      </c>
      <c r="C20" s="295"/>
      <c r="D20" s="295"/>
      <c r="E20" s="295"/>
      <c r="F20" s="295"/>
      <c r="G20" s="222"/>
      <c r="H20" s="168"/>
      <c r="I20" s="201"/>
      <c r="J20" s="202"/>
    </row>
    <row r="21" spans="2:10" ht="15.75">
      <c r="B21" s="184" t="s">
        <v>319</v>
      </c>
      <c r="C21" s="185" t="s">
        <v>320</v>
      </c>
      <c r="D21" s="185">
        <v>13</v>
      </c>
      <c r="E21" s="185">
        <v>15</v>
      </c>
      <c r="F21" s="185">
        <v>129.30000000000001</v>
      </c>
      <c r="G21" s="186">
        <v>23.5</v>
      </c>
      <c r="H21" s="168"/>
      <c r="I21" s="203"/>
      <c r="J21" s="204">
        <f>G21*I21/(J10/100+1)</f>
        <v>0</v>
      </c>
    </row>
    <row r="22" spans="2:10" ht="30">
      <c r="B22" s="189" t="s">
        <v>321</v>
      </c>
      <c r="C22" s="190" t="s">
        <v>322</v>
      </c>
      <c r="D22" s="190">
        <v>14</v>
      </c>
      <c r="E22" s="205" t="s">
        <v>323</v>
      </c>
      <c r="F22" s="190">
        <v>180.2</v>
      </c>
      <c r="G22" s="191">
        <v>32.94</v>
      </c>
      <c r="H22" s="168"/>
      <c r="I22" s="195"/>
      <c r="J22" s="193">
        <f>G22*I22/(J10/100+1)</f>
        <v>0</v>
      </c>
    </row>
    <row r="23" spans="2:10" ht="16.5" thickBot="1">
      <c r="B23" s="206" t="s">
        <v>324</v>
      </c>
      <c r="C23" s="207" t="s">
        <v>325</v>
      </c>
      <c r="D23" s="207">
        <v>13</v>
      </c>
      <c r="E23" s="207">
        <v>20</v>
      </c>
      <c r="F23" s="207">
        <v>167.6</v>
      </c>
      <c r="G23" s="208">
        <v>30.51</v>
      </c>
      <c r="H23" s="168"/>
      <c r="I23" s="199"/>
      <c r="J23" s="200">
        <f>G23*I23/(J10/100+1)</f>
        <v>0</v>
      </c>
    </row>
    <row r="24" spans="2:10" ht="15.75" thickBot="1">
      <c r="B24" s="294" t="s">
        <v>326</v>
      </c>
      <c r="C24" s="295"/>
      <c r="D24" s="295"/>
      <c r="E24" s="295"/>
      <c r="F24" s="295"/>
      <c r="G24" s="222"/>
      <c r="H24" s="168"/>
      <c r="I24" s="201"/>
      <c r="J24" s="202"/>
    </row>
    <row r="25" spans="2:10" ht="15.75">
      <c r="B25" s="209" t="s">
        <v>307</v>
      </c>
      <c r="C25" s="210" t="s">
        <v>327</v>
      </c>
      <c r="D25" s="211">
        <v>20</v>
      </c>
      <c r="E25" s="211">
        <v>30</v>
      </c>
      <c r="F25" s="211">
        <v>331.2</v>
      </c>
      <c r="G25" s="235">
        <v>38.5</v>
      </c>
      <c r="H25" s="168"/>
      <c r="I25" s="212"/>
      <c r="J25" s="204">
        <f>G25*I25/(J10/100+1)</f>
        <v>0</v>
      </c>
    </row>
    <row r="26" spans="2:10" ht="15.75">
      <c r="B26" s="189" t="s">
        <v>309</v>
      </c>
      <c r="C26" s="213" t="s">
        <v>328</v>
      </c>
      <c r="D26" s="34">
        <v>20</v>
      </c>
      <c r="E26" s="34">
        <v>20</v>
      </c>
      <c r="F26" s="34">
        <v>241.6</v>
      </c>
      <c r="G26" s="214">
        <v>31.32</v>
      </c>
      <c r="H26" s="168"/>
      <c r="I26" s="195"/>
      <c r="J26" s="193">
        <f>G26*I26/(J10/100+1)</f>
        <v>0</v>
      </c>
    </row>
    <row r="27" spans="2:10" ht="16.5" thickBot="1">
      <c r="B27" s="206" t="s">
        <v>329</v>
      </c>
      <c r="C27" s="215" t="s">
        <v>330</v>
      </c>
      <c r="D27" s="216">
        <v>35</v>
      </c>
      <c r="E27" s="216">
        <v>10</v>
      </c>
      <c r="F27" s="216">
        <v>500.4</v>
      </c>
      <c r="G27" s="236">
        <v>57.3</v>
      </c>
      <c r="H27" s="168"/>
      <c r="I27" s="217"/>
      <c r="J27" s="218">
        <f>G27*I27/(J10/100+1)</f>
        <v>0</v>
      </c>
    </row>
  </sheetData>
  <mergeCells count="13">
    <mergeCell ref="I6:J6"/>
    <mergeCell ref="A7:G7"/>
    <mergeCell ref="I7:I10"/>
    <mergeCell ref="A8:G8"/>
    <mergeCell ref="A9:G9"/>
    <mergeCell ref="B10:G10"/>
    <mergeCell ref="J10:J11"/>
    <mergeCell ref="B24:F24"/>
    <mergeCell ref="A4:G4"/>
    <mergeCell ref="A5:G5"/>
    <mergeCell ref="A6:G6"/>
    <mergeCell ref="B13:F13"/>
    <mergeCell ref="B20:F20"/>
  </mergeCells>
  <pageMargins left="0.7" right="0.7" top="0.75" bottom="0.75" header="0.3" footer="0.3"/>
  <pageSetup paperSize="9" scale="9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Пр-во</vt:lpstr>
      <vt:lpstr>Кулер</vt:lpstr>
      <vt:lpstr>Мусорные мешки</vt:lpstr>
      <vt:lpstr>'Мусорные мешки'!Область_печати</vt:lpstr>
      <vt:lpstr>'Пр-во'!Область_печати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2018-04-24T11:13:34Z</cp:lastPrinted>
  <dcterms:created xsi:type="dcterms:W3CDTF">2018-04-04T08:01:21Z</dcterms:created>
  <dcterms:modified xsi:type="dcterms:W3CDTF">2018-05-11T11:53:31Z</dcterms:modified>
</cp:coreProperties>
</file>