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Тобольск (2)" sheetId="7" r:id="rId1"/>
  </sheets>
  <calcPr calcId="124519"/>
</workbook>
</file>

<file path=xl/calcChain.xml><?xml version="1.0" encoding="utf-8"?>
<calcChain xmlns="http://schemas.openxmlformats.org/spreadsheetml/2006/main">
  <c r="C12" i="7"/>
  <c r="C11"/>
  <c r="C10"/>
  <c r="C9"/>
  <c r="C8"/>
  <c r="C7"/>
  <c r="C6"/>
  <c r="D14"/>
  <c r="C246"/>
  <c r="C34"/>
  <c r="C32"/>
  <c r="C30"/>
  <c r="C39"/>
  <c r="C38"/>
  <c r="C37"/>
  <c r="C36"/>
  <c r="C35"/>
  <c r="C33"/>
  <c r="C28"/>
  <c r="C243"/>
  <c r="C242"/>
  <c r="C240"/>
  <c r="C239"/>
  <c r="C241"/>
  <c r="C237"/>
  <c r="C235"/>
  <c r="C234"/>
  <c r="C238"/>
  <c r="C236"/>
  <c r="C206"/>
  <c r="C114"/>
  <c r="C115"/>
  <c r="C274"/>
  <c r="C273"/>
  <c r="C283"/>
  <c r="C71"/>
  <c r="C67"/>
  <c r="C69"/>
  <c r="C79"/>
  <c r="C75"/>
  <c r="C73"/>
  <c r="C72"/>
  <c r="C77"/>
  <c r="C74"/>
  <c r="C78"/>
  <c r="C76"/>
  <c r="C70"/>
  <c r="C66"/>
  <c r="C92"/>
  <c r="C89"/>
  <c r="C88"/>
  <c r="C91"/>
  <c r="C90"/>
  <c r="C112"/>
  <c r="C113"/>
  <c r="C111"/>
  <c r="C106"/>
  <c r="C105"/>
  <c r="C98"/>
  <c r="C97"/>
  <c r="C96"/>
  <c r="C87"/>
  <c r="C86"/>
  <c r="C85"/>
  <c r="C84"/>
  <c r="C94"/>
  <c r="C83"/>
  <c r="C93"/>
  <c r="C81"/>
  <c r="C99"/>
  <c r="C202"/>
  <c r="C200"/>
  <c r="C104"/>
  <c r="C102"/>
  <c r="C100"/>
  <c r="C103"/>
  <c r="C101"/>
  <c r="C48"/>
  <c r="C47"/>
  <c r="C55"/>
  <c r="C56"/>
  <c r="C52"/>
  <c r="C54"/>
  <c r="C49"/>
  <c r="C20"/>
  <c r="C19"/>
  <c r="C18"/>
  <c r="C64"/>
  <c r="C63"/>
  <c r="C62"/>
  <c r="C65"/>
  <c r="C167"/>
  <c r="C164"/>
  <c r="C188"/>
  <c r="C187"/>
  <c r="C160"/>
  <c r="C183"/>
  <c r="C180"/>
  <c r="C179"/>
  <c r="C176"/>
  <c r="C171"/>
  <c r="C204"/>
  <c r="C277"/>
  <c r="C276"/>
  <c r="C275"/>
  <c r="C59"/>
  <c r="C60"/>
  <c r="C61"/>
  <c r="C58"/>
  <c r="C57"/>
  <c r="C50"/>
  <c r="C53"/>
  <c r="C46"/>
  <c r="C27"/>
  <c r="C26"/>
  <c r="C25"/>
  <c r="C23"/>
  <c r="C286"/>
  <c r="C199"/>
  <c r="C198"/>
  <c r="C196"/>
  <c r="C195"/>
  <c r="C194"/>
  <c r="C193"/>
  <c r="C192"/>
  <c r="C191"/>
  <c r="C149"/>
  <c r="C148"/>
  <c r="C158"/>
  <c r="C146"/>
  <c r="C157"/>
  <c r="C156"/>
  <c r="C152"/>
  <c r="C140"/>
  <c r="C139"/>
  <c r="C129"/>
  <c r="C127"/>
  <c r="C125"/>
  <c r="C124"/>
  <c r="C121"/>
  <c r="C131"/>
  <c r="C284"/>
  <c r="C42"/>
  <c r="C44"/>
  <c r="C43"/>
  <c r="C225"/>
  <c r="C226"/>
  <c r="C222"/>
  <c r="C223"/>
  <c r="C231"/>
  <c r="C221"/>
  <c r="C259"/>
  <c r="C257"/>
  <c r="C260"/>
  <c r="C258"/>
  <c r="C256"/>
  <c r="C255"/>
  <c r="C219"/>
  <c r="C213"/>
  <c r="C211"/>
  <c r="C209"/>
  <c r="C212"/>
  <c r="C216"/>
  <c r="C262"/>
  <c r="C261"/>
  <c r="C4"/>
  <c r="C3"/>
  <c r="C2"/>
  <c r="D273"/>
  <c r="D109"/>
  <c r="D108"/>
  <c r="D51"/>
  <c r="D54"/>
  <c r="D20"/>
  <c r="D19"/>
  <c r="D18"/>
  <c r="D165"/>
  <c r="D183"/>
  <c r="D177"/>
  <c r="D176"/>
  <c r="D174"/>
  <c r="D173"/>
  <c r="D172"/>
  <c r="D171"/>
  <c r="D277"/>
  <c r="D276"/>
  <c r="D275"/>
  <c r="D48"/>
  <c r="D49"/>
  <c r="D45"/>
  <c r="D47"/>
  <c r="D267"/>
  <c r="D125"/>
  <c r="D123"/>
  <c r="D132"/>
  <c r="D131"/>
  <c r="D130"/>
  <c r="D190"/>
  <c r="D189"/>
  <c r="D211"/>
  <c r="D220"/>
  <c r="D218"/>
  <c r="D217"/>
  <c r="D291"/>
  <c r="D135"/>
  <c r="D134"/>
  <c r="D287"/>
  <c r="D290"/>
  <c r="D285"/>
  <c r="D151"/>
  <c r="D150"/>
  <c r="D148"/>
  <c r="D159"/>
  <c r="D158"/>
  <c r="D147"/>
  <c r="D155"/>
  <c r="D154"/>
  <c r="D153"/>
  <c r="D141"/>
  <c r="D140"/>
  <c r="D139"/>
  <c r="D143"/>
  <c r="D142"/>
  <c r="D40"/>
  <c r="D221"/>
  <c r="D17"/>
  <c r="D16"/>
  <c r="D15"/>
</calcChain>
</file>

<file path=xl/sharedStrings.xml><?xml version="1.0" encoding="utf-8"?>
<sst xmlns="http://schemas.openxmlformats.org/spreadsheetml/2006/main" count="588" uniqueCount="306">
  <si>
    <t>Арматура 6-А-I (А240) ст.3сп/пс  ГОСТ 5781-82</t>
  </si>
  <si>
    <t>Арматура 8-А-I (А240) ст.3сп/пс  ГОСТ 5781-82</t>
  </si>
  <si>
    <t>Арматура 10-А-I (А240) ст.3сп/пс  ГОСТ 5781-82</t>
  </si>
  <si>
    <t>Арматура 16-А-I (А240) ст.3сп/пс  ГОСТ 5781-82</t>
  </si>
  <si>
    <t>Арматура 18-А-I (А240) ст.3сп/пс  ГОСТ 5781-82</t>
  </si>
  <si>
    <t>Арматура 8-А-III (А400) ст.3сп/пс  ГОСТ 5781-82</t>
  </si>
  <si>
    <t>Арматура 10-А-III (А400) ст.3сп/пс  ГОСТ 5781-82</t>
  </si>
  <si>
    <t>Арматура 12-А-III (А400) ст.3сп/пс  ГОСТ 5781-82</t>
  </si>
  <si>
    <t>Арматура 14-А-III (А400) ст.3сп/пс  ГОСТ 5781-82</t>
  </si>
  <si>
    <t>Арматура 16-А-III (А400) ст.3сп/пс  ГОСТ 5781-82</t>
  </si>
  <si>
    <t>Арматура 18-А-III (А400) ст.3сп/пс  ГОСТ 5781-82</t>
  </si>
  <si>
    <t>Арматура 20-А-III (А400) ст.3сп/пс  ГОСТ 5781-82</t>
  </si>
  <si>
    <t>Двутавр 20Ш1 СТО АСЧМ 20-93/С345-5 ГОСТ 27772-15</t>
  </si>
  <si>
    <t>Швеллер № 20 У ст.345-5 ГОСТ 27772-15</t>
  </si>
  <si>
    <t>Швеллер № 12 У ст.345-5 ГОСТ 27772-15</t>
  </si>
  <si>
    <t>Лист 20 мм С345-5 ГОСТ 27772-15</t>
  </si>
  <si>
    <t>Лист 12 мм С345-5 ГОСТ 27772-15</t>
  </si>
  <si>
    <t>Лист 10 мм С345-5 ГОСТ 27772-15</t>
  </si>
  <si>
    <t>Лист 8 мм С345-5 ГОСТ 27772-15</t>
  </si>
  <si>
    <t>Лист 6 мм С345-5 ГОСТ 27772-15</t>
  </si>
  <si>
    <t>Лист 4 мм С345-5 ГОСТ 27772-15</t>
  </si>
  <si>
    <t>Лист 12 мм С245 ГОСТ 27772-15</t>
  </si>
  <si>
    <t>Лист 10 мм С245 ГОСТ 27772-15</t>
  </si>
  <si>
    <t>Лист 6 мм С245 ГОСТ 27772-15</t>
  </si>
  <si>
    <t>Лист Б-ПН 4 мм ст.09Г2С ГОСТ 19903-15</t>
  </si>
  <si>
    <t>Лист Б-ПН 2 мм ст.09Г2С ГОСТ 19903-15</t>
  </si>
  <si>
    <t>Уголок 125х125х10 С245 ГОСТ 27772-15</t>
  </si>
  <si>
    <t>Уголок 100х100х7 С245 ГОСТ 27772-15</t>
  </si>
  <si>
    <t xml:space="preserve">Уголок 75х75х6 С245 ГОСТ 27772-15 </t>
  </si>
  <si>
    <t>Наименование материала</t>
  </si>
  <si>
    <t>Ед. изм.</t>
  </si>
  <si>
    <t>м</t>
  </si>
  <si>
    <t>т</t>
  </si>
  <si>
    <t>Арматура 50 мм</t>
  </si>
  <si>
    <t>м3</t>
  </si>
  <si>
    <t>Арматура 30 мм</t>
  </si>
  <si>
    <t>Арматура 40 мм</t>
  </si>
  <si>
    <t>Арматура ОЦ,Б-ПН-НО-0.8 ГОСТ 14918-80</t>
  </si>
  <si>
    <t>м2</t>
  </si>
  <si>
    <t>Проволока 0,8-О-С ГОСТ 3282-74</t>
  </si>
  <si>
    <t>кг</t>
  </si>
  <si>
    <t>Проволока 1,2-О-С ГОСТ 3282-74</t>
  </si>
  <si>
    <t>Проволока 2.0-0-С ГОСТ  3282-74</t>
  </si>
  <si>
    <t>Полоса 4*30 Ст3СП ГОСТ 535-2005</t>
  </si>
  <si>
    <t>Полоса 4*25 Ст3СП ГОСТ 535-2005</t>
  </si>
  <si>
    <t>Лист ГПРНМ 3 М3 ГОСТ1173-2006</t>
  </si>
  <si>
    <t>шт</t>
  </si>
  <si>
    <t>Круг В1-32 3ГП ГОСТ 1050-2013</t>
  </si>
  <si>
    <t>Швеллер № 10 У ст.345-1 ГОСТ 27772-15</t>
  </si>
  <si>
    <t>Уголок 50х50х5 С345-5 ГОСТ 27772-15</t>
  </si>
  <si>
    <t>Лист 4 мм С245 ГОСТ 27772-15</t>
  </si>
  <si>
    <t>Круг 18-В Ст3СП ГОСТ 535-2005</t>
  </si>
  <si>
    <t>Двутавр 20Б1 СТО АСЧМ 20-93/С345-5 ГОСТ 27772-15</t>
  </si>
  <si>
    <t>Швеллер № 12 У ст.245 ГОСТ 27772-15</t>
  </si>
  <si>
    <t>Швеллер № 14 У ст.245  ГОСТ 27772-15</t>
  </si>
  <si>
    <t>Уголок 25х25х3 С245 ГОСТ 27772-2015</t>
  </si>
  <si>
    <t>Уголок 50х50х5 С245 ГОСТ 27772-15</t>
  </si>
  <si>
    <t xml:space="preserve">Уголок 75х75х5 С245 ГОСТ 27772-15 </t>
  </si>
  <si>
    <t xml:space="preserve">Уголок 75х75х6 С345-5 ГОСТ 27772-15 </t>
  </si>
  <si>
    <t>Уголок 90х90х7 С345-5 ГОСТ 27772-15</t>
  </si>
  <si>
    <t>Уголок 100х100х8 С345-5 ГОСТ 27772-15</t>
  </si>
  <si>
    <t>Труба проф. 120х120х5 С245 ГОСТ 27772-2015</t>
  </si>
  <si>
    <t>Труба проф. 80х80х4 С345-5 ГОСТ 27772-2015</t>
  </si>
  <si>
    <t>Труба проф. 120х120х5 С345-5 ГОСТ 27772-2015</t>
  </si>
  <si>
    <t>Труба проф. 140х140х5 С345-5 ГОСТ 27772-2015</t>
  </si>
  <si>
    <t>Двутавр 40Б2 СТО АСЧМ 20-93/С345-5 ГОСТ 27772-15</t>
  </si>
  <si>
    <t>Двутавр 35Ш2 СТО АСЧМ 20-93/С345-5 ГОСТ 27772-15</t>
  </si>
  <si>
    <t>Швеллер № 16 У ст.245 ГОСТ 27772-15</t>
  </si>
  <si>
    <t>Швеллер № 16 У ст.345-5 ГОСТ 27772-15</t>
  </si>
  <si>
    <t>Швеллер № 18 У ст.345-5 ГОСТ 27772-15</t>
  </si>
  <si>
    <t>Швеллер № 22 У ст.345-5 ГОСТ 27772-15</t>
  </si>
  <si>
    <t>Швеллер № 24 У ст.345-5 ГОСТ 27772-15</t>
  </si>
  <si>
    <t>Швеллер № 30 У ст.345-5 ГОСТ 27772-15</t>
  </si>
  <si>
    <t>Уголок 90х90х8 С345-5 ГОСТ 27772-15</t>
  </si>
  <si>
    <t>Уголок 100х100х7 С345-5 ГОСТ 27772-15</t>
  </si>
  <si>
    <t>Уголок 125х125х8 С345-5 ГОСТ 27772-15</t>
  </si>
  <si>
    <t>Лист 8 мм С245 ГОСТ 27772-15</t>
  </si>
  <si>
    <t>Труба проф. 80х80х5 С245 ГОСТ 27772-2015</t>
  </si>
  <si>
    <t>Сетка 1Р 5 1,2 ГОСТ 5336-80</t>
  </si>
  <si>
    <t>Сетка 5Вр1 200/200 2350 ГОСТ 8478-81</t>
  </si>
  <si>
    <t>Сетка 4С 100/100 ГОСТ 23279-2012</t>
  </si>
  <si>
    <t>Сетка 4С 200/200 ГОСТ 23279-2012</t>
  </si>
  <si>
    <t>Лист ОЦ -Б-ПН-НО-0,5 ГОСТ 19904-90</t>
  </si>
  <si>
    <t>Лист ОЦ -Б-ПН-НО-0,8 ГОСТ 19904-90</t>
  </si>
  <si>
    <t>Двутавр 30Б2 СТО АСЧМ 20-93/С345-5 ГОСТ 27772-15</t>
  </si>
  <si>
    <t>Полоса 10х50 В-2 Ст3кп ГОСТ 103-2006</t>
  </si>
  <si>
    <t>Гайка М30 ГОСТ 5915-70</t>
  </si>
  <si>
    <t>Гайка М20-6Н.5 ГОСТ 5915-70</t>
  </si>
  <si>
    <t>Гайка ОЦ с насеч.</t>
  </si>
  <si>
    <t>Заглушка пов. 1х100х1.6 Ст.09Г2С-8 АТК 26-18-5-93</t>
  </si>
  <si>
    <t>Заглушка пов. 1х150х4,0 Ст.09Г2С-8 АТК 26-18-5-93</t>
  </si>
  <si>
    <t>Заглушка пов. 1х25х4,0 Ст.09Г2С-8 АТК 26-18-5-93</t>
  </si>
  <si>
    <t>Заглушка пов. 1х50х4,0 Ст.09Г2С-8 АТК 26-18-5-93</t>
  </si>
  <si>
    <t>Заглушка пов. 1х80х1,6 Ст.09Г2С-8 АТК 26-18-5-93</t>
  </si>
  <si>
    <t>Заглушка пов. 2х100х1,6-0,8Х18Н10Т АТК 26-18-5-93</t>
  </si>
  <si>
    <t>Заглушка пов. 2х100х4,0 Ст. 09Г2С АТК 26-18-5-93</t>
  </si>
  <si>
    <t>Заглушка пов. 2х150х1,6 Ст.09Г2С АТК 26-18-5-93</t>
  </si>
  <si>
    <t>Заглушка пов. 2х25х6,3 Ст.09Г2С АТК 26-18-5-93</t>
  </si>
  <si>
    <t>Заглушка пов. 2х300х4.0 Ст. 09Г2С АТК 26-18-5-93</t>
  </si>
  <si>
    <t>Заглушка пов. 2х350х2.5 Ст. 09Г2С АТК 26-18-5-93</t>
  </si>
  <si>
    <t>Заглушка пов. 2х50х4.0 Ст. 09Г2С АТК 26-18-5-93</t>
  </si>
  <si>
    <t>Заглушка пов. 2х80х4.0 Ст. 09Г2С АТК 26-18-5-93</t>
  </si>
  <si>
    <t>Заглушка пов. 2х80х6.3 Ст. 09Г2С АТК 26-18-5-93</t>
  </si>
  <si>
    <t>Замок-защелка для сьемной изол.</t>
  </si>
  <si>
    <t>А-150-16 ПМБ-1 ГОСТ 15180-16</t>
  </si>
  <si>
    <t>А-25-16 ПМБ-1 ГОСТ 15180-16</t>
  </si>
  <si>
    <t>А-50-16 ПМБ-1 ГОСТ 15180-16</t>
  </si>
  <si>
    <t>А-80-16 ПМБ-1 ГОСТ 15180-16</t>
  </si>
  <si>
    <t>Анкерный болт М16х110 мм</t>
  </si>
  <si>
    <t>Титул 1940</t>
  </si>
  <si>
    <t xml:space="preserve">Арматура фланц. Dn=15, 30 мм </t>
  </si>
  <si>
    <t xml:space="preserve">Арматура фланц. Dn=15, 40 мм </t>
  </si>
  <si>
    <t>Б-50-40 ПМБ-1 ГОСТ 15180-16</t>
  </si>
  <si>
    <t>Болт БСР 12х110 У3 ГОСТ 28778-90</t>
  </si>
  <si>
    <t>Болт БСР 12х110 УХЛ3 ГОСТ 28778-90</t>
  </si>
  <si>
    <t>Болт БСР 20х200 У3 ГОСТ 28778-90</t>
  </si>
  <si>
    <t>Болт М20-6 ГОСТ 7798-70</t>
  </si>
  <si>
    <t>4/0,759</t>
  </si>
  <si>
    <t>шт/кг</t>
  </si>
  <si>
    <t>Болт М10х30 DIN 933</t>
  </si>
  <si>
    <t xml:space="preserve">шт </t>
  </si>
  <si>
    <t>Винт 4х12.04.019 ГОСТ 10621-80</t>
  </si>
  <si>
    <t>4/0,071</t>
  </si>
  <si>
    <t>Гильза КДЗС 60 мм</t>
  </si>
  <si>
    <t>Гильза стальная,без фланца 43D52/44-156 мм</t>
  </si>
  <si>
    <t>Цилиндр 108х40 мм</t>
  </si>
  <si>
    <t>Цилиндр 108х60 мм</t>
  </si>
  <si>
    <t>Цилиндр 159х70 мм</t>
  </si>
  <si>
    <t xml:space="preserve">Цилиндр 219х50 мм </t>
  </si>
  <si>
    <t>Цилиндр 25х50 мм</t>
  </si>
  <si>
    <t>Цилиндр 32х40 мм</t>
  </si>
  <si>
    <t>Цилиндр 32х50 мм</t>
  </si>
  <si>
    <t>Цилиндр 32х60 мм</t>
  </si>
  <si>
    <t>Цилиндр 57х40 мм</t>
  </si>
  <si>
    <t>Цилиндр 57х60 мм</t>
  </si>
  <si>
    <t xml:space="preserve">Цилиндр 89х40 мм </t>
  </si>
  <si>
    <t xml:space="preserve">Цилиндр 89х60 мм </t>
  </si>
  <si>
    <t>Компрес. Фиттинг 20-М20 наруж. Резьба</t>
  </si>
  <si>
    <t>Контргайка М20 (нерж.)</t>
  </si>
  <si>
    <t xml:space="preserve">Контргайка М25 </t>
  </si>
  <si>
    <t>Контргайка М32</t>
  </si>
  <si>
    <t>Крепеж для монтаж. Ленты к балке (t=10-15 мм)</t>
  </si>
  <si>
    <t>Крепление резиноткан. Рукава КРР2 ст.09Г2С</t>
  </si>
  <si>
    <t>Кронштейн универсальный КУ</t>
  </si>
  <si>
    <t>Круг 20-В Ст. 3сп ГОСТ 535-2005, ГОСТ 2590-2006 L=5 м</t>
  </si>
  <si>
    <t>Лист 6х1000х2000-А-ПВ-0 ГОСТ 19903-74 С345-1</t>
  </si>
  <si>
    <t>Наконечник 10-6-5-М-УХЛ3 ГОСТ 7386-80</t>
  </si>
  <si>
    <t>Наконечник 6-5-3-М-УХЛ3 ГОСТ 7386-80</t>
  </si>
  <si>
    <t>Наконечник 6-6-4-М-УХЛ3 ГОСТ 7386-80</t>
  </si>
  <si>
    <t>Опора 108-ВП-А1-20 ОСТ 36-146-88</t>
  </si>
  <si>
    <t>Опора 108-КП-А11-20 ОСТ 36-146-88</t>
  </si>
  <si>
    <t>Опора 108-КХ-А11-20 ОСТ 36-146-88</t>
  </si>
  <si>
    <t>Опора 130х108-ОТН-40-Б1 Т-ММ-26-15</t>
  </si>
  <si>
    <t>Опора 130х108-ОТС-40-Б1 Т-ММ-26-15</t>
  </si>
  <si>
    <t>Опора 159-ВП-А1-09Г2С ОСТ 36-146-88</t>
  </si>
  <si>
    <t>Опора 159-КП-А11-20  ОСТ 36-146-88</t>
  </si>
  <si>
    <t>Опора 159-КХ-А1-09Г2С ОСТ 36-146-88</t>
  </si>
  <si>
    <t>Опора 219-ВП-А1-20 ОСТ 36-146-88</t>
  </si>
  <si>
    <t>Опора 219-КП-А11-20 ОСТ 36-146-88</t>
  </si>
  <si>
    <t>Опора 273-КП-А11-20 ОСТ 36-146-88</t>
  </si>
  <si>
    <t>Опора 273-КП-А12-20 ОСТ 36-146-88</t>
  </si>
  <si>
    <t>Опора 325-ВП-Б1-20 ОСТ 36-146-88</t>
  </si>
  <si>
    <t>Опора 325-КП-А11-20 ОСТ 36-146-88</t>
  </si>
  <si>
    <t>Опора 325-КП-А12-20 ОСТ 36-146-88</t>
  </si>
  <si>
    <t>Опора 32-ТП-АС10-20 ОСТ 36-146-88</t>
  </si>
  <si>
    <t>Опора 32-ТХ-АС10-20 ОСТ 36-146-88</t>
  </si>
  <si>
    <t>Опора 377-КП-А11-20 ОСТ 36-146-88</t>
  </si>
  <si>
    <t>Опора 377-КП-А12-20 ОСТ 36-146-88</t>
  </si>
  <si>
    <t>Опора 57-ВП-А1-20 ОСТ 36-146-88</t>
  </si>
  <si>
    <t>Опора 57-КП-А11-20 ОСТ 36-146-88</t>
  </si>
  <si>
    <t>Опора 57-КХ-А11-20 ОСТ 36-146-88</t>
  </si>
  <si>
    <t>Опора 89-ВП-А1-20 ОСТ 36-146-88</t>
  </si>
  <si>
    <t>Опора 89-КП-А11-20 ОСТ 36-146-88</t>
  </si>
  <si>
    <t>Опора 89-КХ-А11-20 ОСТ 36-146-88</t>
  </si>
  <si>
    <t>Переходник РКн-25 АВ-3GB-2GH-НК (или аналог)</t>
  </si>
  <si>
    <t>Переходник РКн-38 АВ-5GB-3GH-НК (или аналог)</t>
  </si>
  <si>
    <t>Полоса 5х40 Ст3СП ГОСТ 535-2005</t>
  </si>
  <si>
    <t>Проволока 2.0-Ч ГОСТ  3282-74</t>
  </si>
  <si>
    <t>Соединитель никелир. Латунь с внутр. Резьб. М20</t>
  </si>
  <si>
    <t>Соединитель  М25</t>
  </si>
  <si>
    <t>Соединитель  М32</t>
  </si>
  <si>
    <t xml:space="preserve">Трубопровод d=30мм </t>
  </si>
  <si>
    <t xml:space="preserve">Трубопровод d=40мм </t>
  </si>
  <si>
    <t>Трубопровод d=50мм</t>
  </si>
  <si>
    <t>Трубопровод d=60мм</t>
  </si>
  <si>
    <t>Трубопровод d=70мм</t>
  </si>
  <si>
    <t>Трубопровод ОЦ-Б-ПН-НО-0,8 ГОСТ 19904-90</t>
  </si>
  <si>
    <t>Трубопровод ОЦ-Б-ПН-НО-0,5 ГОСТ 19904-90</t>
  </si>
  <si>
    <t xml:space="preserve"> м2</t>
  </si>
  <si>
    <t>Уголок 50х50х5 С345-1 ГОСТ 27772-88</t>
  </si>
  <si>
    <t>Фитинг 25-М25</t>
  </si>
  <si>
    <t>Фитинг 32-М32</t>
  </si>
  <si>
    <t>Флажок Ф25У2.5 ТУ 36-2466-82</t>
  </si>
  <si>
    <t>Флажок Ф50У2.5 ТУ 36-2466-82</t>
  </si>
  <si>
    <t>Фланец 1х80х16х11х1 09Г2С</t>
  </si>
  <si>
    <t>Шайба А20.01 ГОСТ 11371-78</t>
  </si>
  <si>
    <t>Шайба М10 DIN 125</t>
  </si>
  <si>
    <t>Титул 1943</t>
  </si>
  <si>
    <t>Анкер БСР М10х100 УХЛЗ ГОСТ 28778-90</t>
  </si>
  <si>
    <t>Анкер БСР М16х150 УХЛЗ ГОСТ 28778-90</t>
  </si>
  <si>
    <t>Бобышка Б49 Б49</t>
  </si>
  <si>
    <t>Бобышка БПХ1-М20х1,5-50 09Г2С УХЛ</t>
  </si>
  <si>
    <t>Болт М30х1000 1.2. Ст.09Г2С-6 ГОСТ 24379.1-2012</t>
  </si>
  <si>
    <t>Болт ГОСТ Р ИСО 4014 М10х30-С3-80 Ст.09Г2С</t>
  </si>
  <si>
    <t>Болт ГОСТ Р ИСО 4014 М10х30-С3-80 Ст.14Х17Н2</t>
  </si>
  <si>
    <t>Болт М6х30 (гайка-шайба) ГОСТ 7798-70</t>
  </si>
  <si>
    <t>Болт М10х60 СМ 081060 HDZ</t>
  </si>
  <si>
    <t>Болт М16х1,5х35-8,8 ГОСТ Р ИСО 8765-2013</t>
  </si>
  <si>
    <t>Болт фундам. 1.20.30х800 09Г2С-6 ГОСТ 24379.1-2012</t>
  </si>
  <si>
    <t>Винт М6х20 СМ 010620 HDZ</t>
  </si>
  <si>
    <t>Винт М6х10 СМ 010610 HDZ</t>
  </si>
  <si>
    <t>Винт М10х30-5.6 ГОСТ Р ИСО 4017</t>
  </si>
  <si>
    <t>Винт М6х20 -5.6 СМ 010620 HDZ</t>
  </si>
  <si>
    <t>Винт М8х35-5.6 ГОСТ Р ИСО 4017</t>
  </si>
  <si>
    <t>Гайка М10 DIN985</t>
  </si>
  <si>
    <t>Гайка М10-6Н.5.14Х17Н2 ГОСТ ISO 4032-2014</t>
  </si>
  <si>
    <t>Гайка М10-6Н.5.09Г2С ГОСТ ISO 4032-2014</t>
  </si>
  <si>
    <t>Гайка М16-6Н.5 ГОСТ ISO 4032-2014</t>
  </si>
  <si>
    <t>Гайка с насеч. М10 СМ 101000 HDZ</t>
  </si>
  <si>
    <t>Гайка с насеч. М6 СМ 101000 HDZ</t>
  </si>
  <si>
    <t>Гайка М10-6 ГОСТ ISO 4032</t>
  </si>
  <si>
    <t>Гайка М6-6 ГОСТ ISO 4032</t>
  </si>
  <si>
    <t>Гайка М8-6 ГОСТ ISO 4032</t>
  </si>
  <si>
    <t>Держатель ОЦ d=32 мм</t>
  </si>
  <si>
    <t>Деталь Д14 Серия 3.407.9-158 в.1</t>
  </si>
  <si>
    <t>Цилиндр 21х50 мм</t>
  </si>
  <si>
    <t>Заглушка 1х200-1,0-09Г2С АТК 24-200-02-90</t>
  </si>
  <si>
    <t>Заглушка 1х300-1,0-09Г2С АТК 24-200-02-90</t>
  </si>
  <si>
    <t>Заглушка П 57х5 -09Г2С ГОСТ 17379-2001</t>
  </si>
  <si>
    <t>Заглушка пов. 1х150х1,6 Ст.09Г2С АТК 26-18-5-93</t>
  </si>
  <si>
    <t>Заглушка пов. 1х200х1,6 Ст.09Г2С АТК 26-18-5-93</t>
  </si>
  <si>
    <t>Заглушка пов. 2х100х1,6-09Г2С АТК 26-18-5-93</t>
  </si>
  <si>
    <t>Заглушка пов. 2х250х1,6 Ст.09Г2С АТК 26-18-5-93</t>
  </si>
  <si>
    <t>Заглушка пов. 2х250х4.0 Ст. 09Г2С АТК 26-18-5-93</t>
  </si>
  <si>
    <t>Заглушка пов. 2х25х4,0 Ст.09Г2С АТК 26-18-5-93</t>
  </si>
  <si>
    <t>Заглушка пов. 2х80х1,6 Ст. 09Г2С АТК 26-18-5-93</t>
  </si>
  <si>
    <t>Закладная деталь МН 107-3 Серия 1.400-15.в.1.120-14</t>
  </si>
  <si>
    <t>Закладная деталь МН 112-6 Серия 1.400-15.в.1.120-47</t>
  </si>
  <si>
    <t>Закладная деталь МН 553 Серия 1.400-15.в.1.550</t>
  </si>
  <si>
    <t>м.п.</t>
  </si>
  <si>
    <t>Закладная деталь МН 783 Серия 1.400-15.в.1.730-07</t>
  </si>
  <si>
    <t>Закладная деталь МН 801 Серия 1.400-15.в.1.810</t>
  </si>
  <si>
    <t>Закладное изделие МН132-2 L=750 Серия 1.400-15</t>
  </si>
  <si>
    <t>Закладное изделие МН140-1  Серия 1.400-15</t>
  </si>
  <si>
    <t>Закладное изделие МН158-3  Серия 1.400-15</t>
  </si>
  <si>
    <t>Кольцо опорное К06 ГОСТ 8020-90</t>
  </si>
  <si>
    <t>Кольцо стеновое  КС 7.3 ГОСТ 8020-90</t>
  </si>
  <si>
    <t>Компрес. Фиттинг 20-М20 LTP20-M20</t>
  </si>
  <si>
    <t>Компрес. Фиттинг 25-М25 LTP20-M25</t>
  </si>
  <si>
    <t>Компрес. Фиттинг 32-М32 LTP20-M32</t>
  </si>
  <si>
    <t>Конструкции по серии 1.450.3-7.94 вып.0,2 С245</t>
  </si>
  <si>
    <t>Контргайка М20 В-М20</t>
  </si>
  <si>
    <t>Контргайка М25 В-М25</t>
  </si>
  <si>
    <t>Контргайка М32 В-М32</t>
  </si>
  <si>
    <t>Крепежный уголок 34011 HDZ</t>
  </si>
  <si>
    <t>Круг 20-В Ст. 3сп ГОСТ 535-2005, ГОСТ 2590-2006 L=3 м</t>
  </si>
  <si>
    <t>Круг В1-22  295 ГОСТ 19281-2014</t>
  </si>
  <si>
    <t>Настил реш.34х38,30х3 ТУ 5262-001-39439628-2006 С245</t>
  </si>
  <si>
    <t>Опора 108-Т0-А1-20 ОСТ 36-146-88</t>
  </si>
  <si>
    <t>Опора 426-КП-А11-09Г2С ОСТ 36-146-88</t>
  </si>
  <si>
    <t>Опора 426-КП-А12-09Г2С ОСТ 36-146-88</t>
  </si>
  <si>
    <t>Опора 57-ВП-А2-20 ОСТ 36-146-88</t>
  </si>
  <si>
    <t>Круг 8 Ст3ПС2 ГОСТ 380-2005</t>
  </si>
  <si>
    <t>Труба 1020х10 Ст3СП5 ГОСТ 10704-91</t>
  </si>
  <si>
    <t>Труба 159х6 Ст3СП5 ГОСТ 10704-91</t>
  </si>
  <si>
    <t>Труба 21х3 Ст.20 ГОСТ 8731-74</t>
  </si>
  <si>
    <t>Труба 325х8 Ст3СП5 ГОСТ 10704-91</t>
  </si>
  <si>
    <t>Труба 32х5,5 Ст.09Г2С ГОСТ 8731-74</t>
  </si>
  <si>
    <t>Труба 32х4 Ст.20 ГОСТ 8731-74</t>
  </si>
  <si>
    <t>Труба 377х8 Ст3СП5 ГОСТ 10705-80</t>
  </si>
  <si>
    <t>Труба 40х3 В20 ГОСТ 8732-78</t>
  </si>
  <si>
    <t>Труба 426х9 Ст.09Г2С ГОСТ 8732-78</t>
  </si>
  <si>
    <t>Труба 45х4 Ст.09Г2С ГОСТ 8734-75</t>
  </si>
  <si>
    <t>Труба 50х3 В20 ГОСТ 8732-78</t>
  </si>
  <si>
    <t>Труба 50х4.5 В20 ГОСТ 8732-78</t>
  </si>
  <si>
    <t>Труба 720х10 Ст.3СП5 ГОСТ 10704-91</t>
  </si>
  <si>
    <t>Труба 820х8 Ст.3СП5 ГОСТ 10704-91</t>
  </si>
  <si>
    <t>Труба 820х10 Ст.09Г2С ГОСТ 10704-91</t>
  </si>
  <si>
    <t>Труба ПЭ SDR 13,6-63х4,7</t>
  </si>
  <si>
    <t>Труба Ц32х2.8 ГОСТ 3262-75</t>
  </si>
  <si>
    <t>Труба 159х6 Ст.09Г2С ГОСТ 10704-91</t>
  </si>
  <si>
    <t>Труба 219х8 Ст.09Г2С ГОСТ 10704-91</t>
  </si>
  <si>
    <t>Труба 114х4,5 Ст.3СП5 ГОСТ 10704-91</t>
  </si>
  <si>
    <t>Труба 219х8 Ст.3СП5 ГОСТ 10704-91</t>
  </si>
  <si>
    <t xml:space="preserve">Угол горизонт 90 R300 LC5340HDZ </t>
  </si>
  <si>
    <t>Усиленный соединитель GTO LG5000HDZ</t>
  </si>
  <si>
    <t>Фланец 100х1,6х11х1 09Г2С ГОСТ 33259-2015</t>
  </si>
  <si>
    <t>Фланец 200х10х01-1-В-09Г2С ГОСТ Р54432-2011</t>
  </si>
  <si>
    <t xml:space="preserve">С крепежом </t>
  </si>
  <si>
    <t>Фланец 200х16х11-1 В - 09Г2С-4 ГОСТ 33259-2015</t>
  </si>
  <si>
    <t>Фланец 250х16х11-1 В - 09Г2С-4 ГОСТ 33259-2015</t>
  </si>
  <si>
    <t>Фланец 300х10х01-1 В - 09Г2С - 2 ГОСТ Р 54432-2011</t>
  </si>
  <si>
    <t>с крепежом</t>
  </si>
  <si>
    <t>Фланец 80-16-11-1 В  - 09Г2С -4 ГОСТ 33259-2015</t>
  </si>
  <si>
    <t>Хим. Анкер HILTI HIT-RE 500</t>
  </si>
  <si>
    <t>Шайба 10 3Х13 ГОСТ 6402-70</t>
  </si>
  <si>
    <t>Шайба 16 3Х13 ГОСТ 6402-70</t>
  </si>
  <si>
    <t>Шайба 6 3х13 ГОСТ 6402-70</t>
  </si>
  <si>
    <t>Шайба 8 3Х13 ГОСТ 6402-70</t>
  </si>
  <si>
    <t>Шайба А10.01 ГОСТ 11371-78</t>
  </si>
  <si>
    <t>Шайба А 6.03.019 ГОСТ 11371-78</t>
  </si>
  <si>
    <t>Шайба А 8.03.019 ГОСТ 11371-78</t>
  </si>
  <si>
    <t>Шайба А10.04 - 09Г2С ГОСТ 11371-78</t>
  </si>
  <si>
    <t>Шайба А10.04 - 14Х17Н2 ГОСТ 11371-78</t>
  </si>
  <si>
    <t>Шпилька HIT-V-R М10х130</t>
  </si>
  <si>
    <t>Шпилька HIT-V-R М20х500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</si>
</sst>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1"/>
  <sheetViews>
    <sheetView tabSelected="1" workbookViewId="0">
      <selection activeCell="A292" sqref="A292:XFD408"/>
    </sheetView>
  </sheetViews>
  <sheetFormatPr defaultRowHeight="15"/>
  <cols>
    <col min="1" max="1" width="48.28515625" customWidth="1"/>
    <col min="2" max="2" width="4.7109375" customWidth="1"/>
    <col min="3" max="3" width="7.85546875" style="10" customWidth="1"/>
    <col min="4" max="6" width="9.140625" style="5"/>
  </cols>
  <sheetData>
    <row r="1" spans="1:4" ht="45.75" customHeight="1">
      <c r="A1" s="3" t="s">
        <v>29</v>
      </c>
      <c r="B1" s="3" t="s">
        <v>30</v>
      </c>
      <c r="C1" s="11" t="s">
        <v>197</v>
      </c>
      <c r="D1" s="6" t="s">
        <v>109</v>
      </c>
    </row>
    <row r="2" spans="1:4">
      <c r="A2" s="4" t="s">
        <v>0</v>
      </c>
      <c r="B2" s="7" t="s">
        <v>32</v>
      </c>
      <c r="C2" s="12">
        <f>0.04+0.158+0.27+0.376+0.04</f>
        <v>0.88400000000000012</v>
      </c>
      <c r="D2" s="4"/>
    </row>
    <row r="3" spans="1:4">
      <c r="A3" s="4" t="s">
        <v>1</v>
      </c>
      <c r="B3" s="7" t="s">
        <v>32</v>
      </c>
      <c r="C3" s="12">
        <f>0.003+0.043+0.005+0.005+0.041+0.003+0.095+0.07</f>
        <v>0.26500000000000001</v>
      </c>
      <c r="D3" s="4"/>
    </row>
    <row r="4" spans="1:4">
      <c r="A4" s="4" t="s">
        <v>5</v>
      </c>
      <c r="B4" s="7" t="s">
        <v>32</v>
      </c>
      <c r="C4" s="12">
        <f>0.19+0.044+0.018+0.46+0.06</f>
        <v>0.77200000000000002</v>
      </c>
      <c r="D4" s="4"/>
    </row>
    <row r="5" spans="1:4">
      <c r="A5" s="4" t="s">
        <v>2</v>
      </c>
      <c r="B5" s="7" t="s">
        <v>31</v>
      </c>
      <c r="C5" s="12">
        <v>1.4930000000000001</v>
      </c>
      <c r="D5" s="4"/>
    </row>
    <row r="6" spans="1:4">
      <c r="A6" s="4" t="s">
        <v>6</v>
      </c>
      <c r="B6" s="7" t="s">
        <v>31</v>
      </c>
      <c r="C6" s="9">
        <f>0.034+0.075+0.94</f>
        <v>1.0489999999999999</v>
      </c>
      <c r="D6" s="4"/>
    </row>
    <row r="7" spans="1:4">
      <c r="A7" s="4" t="s">
        <v>7</v>
      </c>
      <c r="B7" s="7" t="s">
        <v>31</v>
      </c>
      <c r="C7" s="9">
        <f>3.209+0.104+0.134+0.134+0.103+0.045+8.46+4.04+0.04</f>
        <v>16.268999999999998</v>
      </c>
      <c r="D7" s="4"/>
    </row>
    <row r="8" spans="1:4">
      <c r="A8" s="4" t="s">
        <v>8</v>
      </c>
      <c r="B8" s="7" t="s">
        <v>31</v>
      </c>
      <c r="C8" s="9">
        <f>0.569</f>
        <v>0.56899999999999995</v>
      </c>
      <c r="D8" s="4"/>
    </row>
    <row r="9" spans="1:4">
      <c r="A9" s="4" t="s">
        <v>3</v>
      </c>
      <c r="B9" s="7" t="s">
        <v>31</v>
      </c>
      <c r="C9" s="9">
        <f>0.15</f>
        <v>0.15</v>
      </c>
      <c r="D9" s="4"/>
    </row>
    <row r="10" spans="1:4">
      <c r="A10" s="4" t="s">
        <v>9</v>
      </c>
      <c r="B10" s="7" t="s">
        <v>31</v>
      </c>
      <c r="C10" s="9">
        <f>0.061+3.168+11.708+0.65</f>
        <v>15.587000000000002</v>
      </c>
      <c r="D10" s="4"/>
    </row>
    <row r="11" spans="1:4">
      <c r="A11" s="4" t="s">
        <v>4</v>
      </c>
      <c r="B11" s="7" t="s">
        <v>31</v>
      </c>
      <c r="C11" s="9">
        <f>0.06</f>
        <v>0.06</v>
      </c>
      <c r="D11" s="4"/>
    </row>
    <row r="12" spans="1:4">
      <c r="A12" s="1" t="s">
        <v>10</v>
      </c>
      <c r="B12" s="2" t="s">
        <v>31</v>
      </c>
      <c r="C12" s="9">
        <f>0.002</f>
        <v>2E-3</v>
      </c>
    </row>
    <row r="13" spans="1:4">
      <c r="A13" s="1" t="s">
        <v>11</v>
      </c>
      <c r="B13" s="2" t="s">
        <v>31</v>
      </c>
      <c r="C13" s="9">
        <v>0.93100000000000005</v>
      </c>
      <c r="D13" s="4"/>
    </row>
    <row r="14" spans="1:4">
      <c r="A14" s="1" t="s">
        <v>37</v>
      </c>
      <c r="B14" s="2" t="s">
        <v>38</v>
      </c>
      <c r="C14" s="9"/>
      <c r="D14" s="4">
        <f>44.6</f>
        <v>44.6</v>
      </c>
    </row>
    <row r="15" spans="1:4">
      <c r="A15" s="1" t="s">
        <v>35</v>
      </c>
      <c r="B15" s="2" t="s">
        <v>34</v>
      </c>
      <c r="C15" s="9"/>
      <c r="D15" s="4">
        <f>0.22</f>
        <v>0.22</v>
      </c>
    </row>
    <row r="16" spans="1:4">
      <c r="A16" s="1" t="s">
        <v>36</v>
      </c>
      <c r="B16" s="2" t="s">
        <v>34</v>
      </c>
      <c r="C16" s="9"/>
      <c r="D16" s="4">
        <f>0.32</f>
        <v>0.32</v>
      </c>
    </row>
    <row r="17" spans="1:4">
      <c r="A17" s="1" t="s">
        <v>33</v>
      </c>
      <c r="B17" s="2" t="s">
        <v>34</v>
      </c>
      <c r="C17" s="9"/>
      <c r="D17" s="4">
        <f>0.16+0.78</f>
        <v>0.94000000000000006</v>
      </c>
    </row>
    <row r="18" spans="1:4">
      <c r="A18" s="1" t="s">
        <v>39</v>
      </c>
      <c r="B18" s="2" t="s">
        <v>40</v>
      </c>
      <c r="C18" s="9">
        <f>1+0.5+1+0.5+0.5</f>
        <v>3.5</v>
      </c>
      <c r="D18" s="4">
        <f>0.5+88</f>
        <v>88.5</v>
      </c>
    </row>
    <row r="19" spans="1:4">
      <c r="A19" s="1" t="s">
        <v>41</v>
      </c>
      <c r="B19" s="2" t="s">
        <v>40</v>
      </c>
      <c r="C19" s="9">
        <f>0.5+0.5</f>
        <v>1</v>
      </c>
      <c r="D19" s="4">
        <f>61.5</f>
        <v>61.5</v>
      </c>
    </row>
    <row r="20" spans="1:4">
      <c r="A20" s="1" t="s">
        <v>42</v>
      </c>
      <c r="B20" s="2" t="s">
        <v>40</v>
      </c>
      <c r="C20" s="9">
        <f>1.5+1.5</f>
        <v>3</v>
      </c>
      <c r="D20" s="4">
        <f>162.5</f>
        <v>162.5</v>
      </c>
    </row>
    <row r="21" spans="1:4">
      <c r="A21" s="1" t="s">
        <v>177</v>
      </c>
      <c r="B21" s="2" t="s">
        <v>46</v>
      </c>
      <c r="C21" s="9"/>
      <c r="D21" s="4">
        <v>3200</v>
      </c>
    </row>
    <row r="22" spans="1:4">
      <c r="A22" s="1" t="s">
        <v>262</v>
      </c>
      <c r="B22" s="2" t="s">
        <v>32</v>
      </c>
      <c r="C22" s="9">
        <v>2E-3</v>
      </c>
      <c r="D22" s="4"/>
    </row>
    <row r="23" spans="1:4">
      <c r="A23" s="1" t="s">
        <v>51</v>
      </c>
      <c r="B23" s="2" t="s">
        <v>31</v>
      </c>
      <c r="C23" s="9">
        <f>20+20</f>
        <v>40</v>
      </c>
      <c r="D23" s="4"/>
    </row>
    <row r="24" spans="1:4">
      <c r="A24" s="1" t="s">
        <v>144</v>
      </c>
      <c r="B24" s="2" t="s">
        <v>46</v>
      </c>
      <c r="C24" s="9"/>
      <c r="D24" s="4">
        <v>112</v>
      </c>
    </row>
    <row r="25" spans="1:4">
      <c r="A25" s="1" t="s">
        <v>255</v>
      </c>
      <c r="B25" s="2" t="s">
        <v>31</v>
      </c>
      <c r="C25" s="9">
        <f>27</f>
        <v>27</v>
      </c>
      <c r="D25" s="4"/>
    </row>
    <row r="26" spans="1:4">
      <c r="A26" s="1" t="s">
        <v>256</v>
      </c>
      <c r="B26" s="2" t="s">
        <v>46</v>
      </c>
      <c r="C26" s="9">
        <f>11+16</f>
        <v>27</v>
      </c>
      <c r="D26" s="4"/>
    </row>
    <row r="27" spans="1:4">
      <c r="A27" s="1" t="s">
        <v>47</v>
      </c>
      <c r="B27" s="2" t="s">
        <v>46</v>
      </c>
      <c r="C27" s="9">
        <f>2+2</f>
        <v>4</v>
      </c>
      <c r="D27" s="4"/>
    </row>
    <row r="28" spans="1:4">
      <c r="A28" s="1" t="s">
        <v>48</v>
      </c>
      <c r="B28" s="2" t="s">
        <v>31</v>
      </c>
      <c r="C28" s="9">
        <f>10+10</f>
        <v>20</v>
      </c>
      <c r="D28" s="4"/>
    </row>
    <row r="29" spans="1:4">
      <c r="A29" s="1" t="s">
        <v>48</v>
      </c>
      <c r="B29" s="2" t="s">
        <v>46</v>
      </c>
      <c r="C29" s="9"/>
      <c r="D29" s="4">
        <v>30</v>
      </c>
    </row>
    <row r="30" spans="1:4">
      <c r="A30" s="1" t="s">
        <v>53</v>
      </c>
      <c r="B30" s="2" t="s">
        <v>32</v>
      </c>
      <c r="C30" s="9">
        <f>0.023+0.009</f>
        <v>3.2000000000000001E-2</v>
      </c>
      <c r="D30" s="4"/>
    </row>
    <row r="31" spans="1:4">
      <c r="A31" s="1" t="s">
        <v>14</v>
      </c>
      <c r="B31" s="2" t="s">
        <v>32</v>
      </c>
      <c r="C31" s="9"/>
      <c r="D31" s="4">
        <v>0.03</v>
      </c>
    </row>
    <row r="32" spans="1:4">
      <c r="A32" s="1" t="s">
        <v>54</v>
      </c>
      <c r="B32" s="2" t="s">
        <v>32</v>
      </c>
      <c r="C32" s="9">
        <f>0.227+0.256</f>
        <v>0.48299999999999998</v>
      </c>
      <c r="D32" s="4"/>
    </row>
    <row r="33" spans="1:4">
      <c r="A33" s="1" t="s">
        <v>67</v>
      </c>
      <c r="B33" s="2" t="s">
        <v>32</v>
      </c>
      <c r="C33" s="9">
        <f>0.364</f>
        <v>0.36399999999999999</v>
      </c>
      <c r="D33" s="4"/>
    </row>
    <row r="34" spans="1:4">
      <c r="A34" s="1" t="s">
        <v>68</v>
      </c>
      <c r="B34" s="2" t="s">
        <v>32</v>
      </c>
      <c r="C34" s="9">
        <f>0.391+0.552</f>
        <v>0.94300000000000006</v>
      </c>
      <c r="D34" s="4"/>
    </row>
    <row r="35" spans="1:4">
      <c r="A35" s="1" t="s">
        <v>69</v>
      </c>
      <c r="B35" s="2" t="s">
        <v>32</v>
      </c>
      <c r="C35" s="9">
        <f>0.151</f>
        <v>0.151</v>
      </c>
      <c r="D35" s="4"/>
    </row>
    <row r="36" spans="1:4">
      <c r="A36" s="1" t="s">
        <v>13</v>
      </c>
      <c r="B36" s="2" t="s">
        <v>32</v>
      </c>
      <c r="C36" s="9">
        <f>0.293</f>
        <v>0.29299999999999998</v>
      </c>
      <c r="D36" s="4">
        <v>2.9000000000000001E-2</v>
      </c>
    </row>
    <row r="37" spans="1:4">
      <c r="A37" s="1" t="s">
        <v>70</v>
      </c>
      <c r="B37" s="2" t="s">
        <v>32</v>
      </c>
      <c r="C37" s="9">
        <f>0.433</f>
        <v>0.433</v>
      </c>
      <c r="D37" s="4"/>
    </row>
    <row r="38" spans="1:4">
      <c r="A38" s="1" t="s">
        <v>71</v>
      </c>
      <c r="B38" s="2" t="s">
        <v>32</v>
      </c>
      <c r="C38" s="9">
        <f>0.145</f>
        <v>0.14499999999999999</v>
      </c>
      <c r="D38" s="4"/>
    </row>
    <row r="39" spans="1:4">
      <c r="A39" s="1" t="s">
        <v>72</v>
      </c>
      <c r="B39" s="2" t="s">
        <v>32</v>
      </c>
      <c r="C39" s="9">
        <f>0.254</f>
        <v>0.254</v>
      </c>
      <c r="D39" s="4"/>
    </row>
    <row r="40" spans="1:4">
      <c r="A40" s="1" t="s">
        <v>12</v>
      </c>
      <c r="B40" s="2" t="s">
        <v>32</v>
      </c>
      <c r="C40" s="9"/>
      <c r="D40" s="4">
        <f>0.184</f>
        <v>0.184</v>
      </c>
    </row>
    <row r="41" spans="1:4">
      <c r="A41" s="1" t="s">
        <v>52</v>
      </c>
      <c r="B41" s="2" t="s">
        <v>32</v>
      </c>
      <c r="C41" s="9">
        <v>0.65200000000000002</v>
      </c>
      <c r="D41" s="4"/>
    </row>
    <row r="42" spans="1:4">
      <c r="A42" s="1" t="s">
        <v>84</v>
      </c>
      <c r="B42" s="2" t="s">
        <v>32</v>
      </c>
      <c r="C42" s="9">
        <f>0.184</f>
        <v>0.184</v>
      </c>
      <c r="D42" s="4"/>
    </row>
    <row r="43" spans="1:4">
      <c r="A43" s="1" t="s">
        <v>66</v>
      </c>
      <c r="B43" s="2" t="s">
        <v>32</v>
      </c>
      <c r="C43" s="9">
        <f>1.983</f>
        <v>1.9830000000000001</v>
      </c>
      <c r="D43" s="4"/>
    </row>
    <row r="44" spans="1:4">
      <c r="A44" s="1" t="s">
        <v>65</v>
      </c>
      <c r="B44" s="2" t="s">
        <v>32</v>
      </c>
      <c r="C44" s="9">
        <f>2.536</f>
        <v>2.536</v>
      </c>
      <c r="D44" s="4"/>
    </row>
    <row r="45" spans="1:4">
      <c r="A45" s="1" t="s">
        <v>15</v>
      </c>
      <c r="B45" s="2" t="s">
        <v>31</v>
      </c>
      <c r="C45" s="9"/>
      <c r="D45" s="4">
        <f>0.058+0.677+0.251+0.275+0.235</f>
        <v>1.496</v>
      </c>
    </row>
    <row r="46" spans="1:4">
      <c r="A46" s="1" t="s">
        <v>16</v>
      </c>
      <c r="B46" s="2" t="s">
        <v>32</v>
      </c>
      <c r="C46" s="9">
        <f>0.2+0.135</f>
        <v>0.33500000000000002</v>
      </c>
      <c r="D46" s="4"/>
    </row>
    <row r="47" spans="1:4">
      <c r="A47" s="1" t="s">
        <v>17</v>
      </c>
      <c r="B47" s="2" t="s">
        <v>32</v>
      </c>
      <c r="C47" s="9">
        <f>0.009+0.165+0.031+0.145+0.175+1.446+1.192+0.488</f>
        <v>3.6509999999999998</v>
      </c>
      <c r="D47" s="4">
        <f>0.007+0.054+0.042+0.065+0.162</f>
        <v>0.33</v>
      </c>
    </row>
    <row r="48" spans="1:4">
      <c r="A48" s="1" t="s">
        <v>18</v>
      </c>
      <c r="B48" s="2" t="s">
        <v>32</v>
      </c>
      <c r="C48" s="9">
        <f>0.11+0.158+0.066+0.019+0.006</f>
        <v>0.35900000000000004</v>
      </c>
      <c r="D48" s="4">
        <f>0.005+0.029+0.013</f>
        <v>4.7E-2</v>
      </c>
    </row>
    <row r="49" spans="1:4">
      <c r="A49" s="1" t="s">
        <v>19</v>
      </c>
      <c r="B49" s="2" t="s">
        <v>32</v>
      </c>
      <c r="C49" s="9">
        <f>0.006+0.006+0.073</f>
        <v>8.4999999999999992E-2</v>
      </c>
      <c r="D49" s="4">
        <f>0.012+0.102+0.047+0.024</f>
        <v>0.18499999999999997</v>
      </c>
    </row>
    <row r="50" spans="1:4">
      <c r="A50" s="1" t="s">
        <v>145</v>
      </c>
      <c r="B50" s="2" t="s">
        <v>46</v>
      </c>
      <c r="C50" s="9">
        <f>5+5</f>
        <v>10</v>
      </c>
      <c r="D50" s="4">
        <v>12</v>
      </c>
    </row>
    <row r="51" spans="1:4">
      <c r="A51" s="1" t="s">
        <v>20</v>
      </c>
      <c r="B51" s="2" t="s">
        <v>31</v>
      </c>
      <c r="C51" s="9"/>
      <c r="D51" s="4">
        <f>0.094</f>
        <v>9.4E-2</v>
      </c>
    </row>
    <row r="52" spans="1:4">
      <c r="A52" s="1" t="s">
        <v>50</v>
      </c>
      <c r="B52" s="2" t="s">
        <v>32</v>
      </c>
      <c r="C52" s="9">
        <f>0.224+0.339+0.423</f>
        <v>0.98599999999999999</v>
      </c>
      <c r="D52" s="4"/>
    </row>
    <row r="53" spans="1:4">
      <c r="A53" s="1" t="s">
        <v>21</v>
      </c>
      <c r="B53" s="2" t="s">
        <v>31</v>
      </c>
      <c r="C53" s="9">
        <f>2.98</f>
        <v>2.98</v>
      </c>
      <c r="D53" s="4"/>
    </row>
    <row r="54" spans="1:4">
      <c r="A54" s="1" t="s">
        <v>22</v>
      </c>
      <c r="B54" s="2" t="s">
        <v>31</v>
      </c>
      <c r="C54" s="9">
        <f>0.164+0.364+0.324</f>
        <v>0.85200000000000009</v>
      </c>
      <c r="D54" s="4">
        <f>0.37</f>
        <v>0.37</v>
      </c>
    </row>
    <row r="55" spans="1:4">
      <c r="A55" s="1" t="s">
        <v>76</v>
      </c>
      <c r="B55" s="2" t="s">
        <v>32</v>
      </c>
      <c r="C55" s="9">
        <f>0.011</f>
        <v>1.0999999999999999E-2</v>
      </c>
      <c r="D55" s="4"/>
    </row>
    <row r="56" spans="1:4">
      <c r="A56" s="1" t="s">
        <v>23</v>
      </c>
      <c r="B56" s="2" t="s">
        <v>31</v>
      </c>
      <c r="C56" s="9">
        <f>0.062+0.002</f>
        <v>6.4000000000000001E-2</v>
      </c>
      <c r="D56" s="4"/>
    </row>
    <row r="57" spans="1:4">
      <c r="A57" s="1" t="s">
        <v>25</v>
      </c>
      <c r="B57" s="2" t="s">
        <v>46</v>
      </c>
      <c r="C57" s="9">
        <f>8+16</f>
        <v>24</v>
      </c>
      <c r="D57" s="4"/>
    </row>
    <row r="58" spans="1:4">
      <c r="A58" s="1" t="s">
        <v>24</v>
      </c>
      <c r="B58" s="2" t="s">
        <v>31</v>
      </c>
      <c r="C58" s="9">
        <f>8+16</f>
        <v>24</v>
      </c>
      <c r="D58" s="4"/>
    </row>
    <row r="59" spans="1:4">
      <c r="A59" s="1" t="s">
        <v>82</v>
      </c>
      <c r="B59" s="2" t="s">
        <v>38</v>
      </c>
      <c r="C59" s="9">
        <f>2+155.6+1.5+10.1+1.4+8.9+11.3</f>
        <v>190.8</v>
      </c>
      <c r="D59" s="4">
        <v>0.3</v>
      </c>
    </row>
    <row r="60" spans="1:4">
      <c r="A60" s="1" t="s">
        <v>83</v>
      </c>
      <c r="B60" s="2" t="s">
        <v>38</v>
      </c>
      <c r="C60" s="9">
        <f>6.3+0.1+0.1+0.4+0.5+0.5+0.1</f>
        <v>7.9999999999999991</v>
      </c>
      <c r="D60" s="4">
        <v>0.1</v>
      </c>
    </row>
    <row r="61" spans="1:4">
      <c r="A61" s="1" t="s">
        <v>45</v>
      </c>
      <c r="B61" s="2" t="s">
        <v>46</v>
      </c>
      <c r="C61" s="9">
        <f>18+22+4+34+32+4</f>
        <v>114</v>
      </c>
      <c r="D61" s="4"/>
    </row>
    <row r="62" spans="1:4">
      <c r="A62" s="1" t="s">
        <v>44</v>
      </c>
      <c r="B62" s="2" t="s">
        <v>31</v>
      </c>
      <c r="C62" s="9">
        <f>70+20+103+141</f>
        <v>334</v>
      </c>
      <c r="D62" s="4">
        <v>23</v>
      </c>
    </row>
    <row r="63" spans="1:4">
      <c r="A63" s="1" t="s">
        <v>43</v>
      </c>
      <c r="B63" s="2" t="s">
        <v>31</v>
      </c>
      <c r="C63" s="9">
        <f>3+1.1</f>
        <v>4.0999999999999996</v>
      </c>
      <c r="D63" s="4">
        <v>25.8</v>
      </c>
    </row>
    <row r="64" spans="1:4">
      <c r="A64" s="1" t="s">
        <v>176</v>
      </c>
      <c r="B64" s="2" t="s">
        <v>31</v>
      </c>
      <c r="C64" s="9">
        <f>90+135</f>
        <v>225</v>
      </c>
      <c r="D64" s="4">
        <v>455</v>
      </c>
    </row>
    <row r="65" spans="1:4">
      <c r="A65" s="1" t="s">
        <v>85</v>
      </c>
      <c r="B65" s="2" t="s">
        <v>31</v>
      </c>
      <c r="C65" s="9">
        <f>51+26</f>
        <v>77</v>
      </c>
      <c r="D65" s="4"/>
    </row>
    <row r="66" spans="1:4">
      <c r="A66" s="1" t="s">
        <v>55</v>
      </c>
      <c r="B66" s="2" t="s">
        <v>32</v>
      </c>
      <c r="C66" s="9">
        <f>0.15+0.091+0.056</f>
        <v>0.29699999999999999</v>
      </c>
      <c r="D66" s="4"/>
    </row>
    <row r="67" spans="1:4">
      <c r="A67" s="1" t="s">
        <v>49</v>
      </c>
      <c r="B67" s="2" t="s">
        <v>32</v>
      </c>
      <c r="C67" s="9">
        <f>0.075+0.092+0.02+0.179+0.008+0.002+0.352</f>
        <v>0.72799999999999998</v>
      </c>
      <c r="D67" s="4"/>
    </row>
    <row r="68" spans="1:4">
      <c r="A68" s="1" t="s">
        <v>189</v>
      </c>
      <c r="B68" s="2" t="s">
        <v>46</v>
      </c>
      <c r="C68" s="9"/>
      <c r="D68" s="4">
        <v>320</v>
      </c>
    </row>
    <row r="69" spans="1:4">
      <c r="A69" s="1" t="s">
        <v>56</v>
      </c>
      <c r="B69" s="2" t="s">
        <v>32</v>
      </c>
      <c r="C69" s="9">
        <f>0.744+0.502+0.237+0.05</f>
        <v>1.5330000000000001</v>
      </c>
      <c r="D69" s="4"/>
    </row>
    <row r="70" spans="1:4">
      <c r="A70" s="1" t="s">
        <v>57</v>
      </c>
      <c r="B70" s="2" t="s">
        <v>32</v>
      </c>
      <c r="C70" s="9">
        <f>0.014+0.014</f>
        <v>2.8000000000000001E-2</v>
      </c>
      <c r="D70" s="4"/>
    </row>
    <row r="71" spans="1:4">
      <c r="A71" s="1" t="s">
        <v>28</v>
      </c>
      <c r="B71" s="2" t="s">
        <v>32</v>
      </c>
      <c r="C71" s="9">
        <f>0.068+0.013+0.25</f>
        <v>0.33100000000000002</v>
      </c>
      <c r="D71" s="4"/>
    </row>
    <row r="72" spans="1:4">
      <c r="A72" s="1" t="s">
        <v>58</v>
      </c>
      <c r="B72" s="2" t="s">
        <v>32</v>
      </c>
      <c r="C72" s="9">
        <f>0.088</f>
        <v>8.7999999999999995E-2</v>
      </c>
      <c r="D72" s="4"/>
    </row>
    <row r="73" spans="1:4">
      <c r="A73" s="1" t="s">
        <v>59</v>
      </c>
      <c r="B73" s="2" t="s">
        <v>32</v>
      </c>
      <c r="C73" s="9">
        <f>0.617</f>
        <v>0.61699999999999999</v>
      </c>
      <c r="D73" s="4"/>
    </row>
    <row r="74" spans="1:4">
      <c r="A74" s="1" t="s">
        <v>73</v>
      </c>
      <c r="B74" s="2" t="s">
        <v>32</v>
      </c>
      <c r="C74" s="9">
        <f>0.011</f>
        <v>1.0999999999999999E-2</v>
      </c>
      <c r="D74" s="4"/>
    </row>
    <row r="75" spans="1:4">
      <c r="A75" s="1" t="s">
        <v>27</v>
      </c>
      <c r="B75" s="2" t="s">
        <v>32</v>
      </c>
      <c r="C75" s="9">
        <f>0.021+0.4</f>
        <v>0.42100000000000004</v>
      </c>
      <c r="D75" s="4"/>
    </row>
    <row r="76" spans="1:4">
      <c r="A76" s="1" t="s">
        <v>74</v>
      </c>
      <c r="B76" s="2" t="s">
        <v>32</v>
      </c>
      <c r="C76" s="9">
        <f>0.02</f>
        <v>0.02</v>
      </c>
      <c r="D76" s="4"/>
    </row>
    <row r="77" spans="1:4">
      <c r="A77" s="1" t="s">
        <v>60</v>
      </c>
      <c r="B77" s="2" t="s">
        <v>32</v>
      </c>
      <c r="C77" s="9">
        <f>0.035</f>
        <v>3.5000000000000003E-2</v>
      </c>
      <c r="D77" s="4"/>
    </row>
    <row r="78" spans="1:4">
      <c r="A78" s="1" t="s">
        <v>75</v>
      </c>
      <c r="B78" s="2" t="s">
        <v>32</v>
      </c>
      <c r="C78" s="9">
        <f>0.01</f>
        <v>0.01</v>
      </c>
      <c r="D78" s="4"/>
    </row>
    <row r="79" spans="1:4">
      <c r="A79" s="1" t="s">
        <v>26</v>
      </c>
      <c r="B79" s="2" t="s">
        <v>32</v>
      </c>
      <c r="C79" s="9">
        <f>0.13</f>
        <v>0.13</v>
      </c>
      <c r="D79" s="4"/>
    </row>
    <row r="80" spans="1:4">
      <c r="A80" s="1" t="s">
        <v>284</v>
      </c>
      <c r="B80" s="2" t="s">
        <v>46</v>
      </c>
      <c r="C80" s="9">
        <v>1</v>
      </c>
      <c r="D80" s="4"/>
    </row>
    <row r="81" spans="1:4">
      <c r="A81" s="1" t="s">
        <v>265</v>
      </c>
      <c r="B81" s="2" t="s">
        <v>31</v>
      </c>
      <c r="C81" s="9">
        <f>3.5</f>
        <v>3.5</v>
      </c>
      <c r="D81" s="4"/>
    </row>
    <row r="82" spans="1:4">
      <c r="A82" s="1" t="s">
        <v>268</v>
      </c>
      <c r="B82" s="2" t="s">
        <v>31</v>
      </c>
      <c r="C82" s="9">
        <v>3</v>
      </c>
      <c r="D82" s="4"/>
    </row>
    <row r="83" spans="1:4">
      <c r="A83" s="1" t="s">
        <v>267</v>
      </c>
      <c r="B83" s="2" t="s">
        <v>31</v>
      </c>
      <c r="C83" s="9">
        <f>0.6+0.3</f>
        <v>0.89999999999999991</v>
      </c>
      <c r="D83" s="4"/>
    </row>
    <row r="84" spans="1:4">
      <c r="A84" s="1" t="s">
        <v>270</v>
      </c>
      <c r="B84" s="2" t="s">
        <v>31</v>
      </c>
      <c r="C84" s="9">
        <f>4</f>
        <v>4</v>
      </c>
      <c r="D84" s="4"/>
    </row>
    <row r="85" spans="1:4">
      <c r="A85" s="1" t="s">
        <v>272</v>
      </c>
      <c r="B85" s="2" t="s">
        <v>31</v>
      </c>
      <c r="C85" s="9">
        <f>0.4+0.8</f>
        <v>1.2000000000000002</v>
      </c>
      <c r="D85" s="4"/>
    </row>
    <row r="86" spans="1:4">
      <c r="A86" s="1" t="s">
        <v>273</v>
      </c>
      <c r="B86" s="2" t="s">
        <v>31</v>
      </c>
      <c r="C86" s="9">
        <f>6</f>
        <v>6</v>
      </c>
      <c r="D86" s="4"/>
    </row>
    <row r="87" spans="1:4">
      <c r="A87" s="1" t="s">
        <v>274</v>
      </c>
      <c r="B87" s="2" t="s">
        <v>31</v>
      </c>
      <c r="C87" s="9">
        <f>3</f>
        <v>3</v>
      </c>
      <c r="D87" s="4"/>
    </row>
    <row r="88" spans="1:4">
      <c r="A88" s="1" t="s">
        <v>282</v>
      </c>
      <c r="B88" s="2" t="s">
        <v>32</v>
      </c>
      <c r="C88" s="9">
        <f>0.401+0.385</f>
        <v>0.78600000000000003</v>
      </c>
      <c r="D88" s="4"/>
    </row>
    <row r="89" spans="1:4">
      <c r="A89" s="1" t="s">
        <v>264</v>
      </c>
      <c r="B89" s="2" t="s">
        <v>32</v>
      </c>
      <c r="C89" s="9">
        <f>0.815+1.454</f>
        <v>2.2690000000000001</v>
      </c>
      <c r="D89" s="4"/>
    </row>
    <row r="90" spans="1:4">
      <c r="A90" s="1" t="s">
        <v>280</v>
      </c>
      <c r="B90" s="2" t="s">
        <v>32</v>
      </c>
      <c r="C90" s="9">
        <f>2.746</f>
        <v>2.746</v>
      </c>
      <c r="D90" s="4"/>
    </row>
    <row r="91" spans="1:4">
      <c r="A91" s="1" t="s">
        <v>281</v>
      </c>
      <c r="B91" s="2" t="s">
        <v>32</v>
      </c>
      <c r="C91" s="9">
        <f>0.678</f>
        <v>0.67800000000000005</v>
      </c>
      <c r="D91" s="4"/>
    </row>
    <row r="92" spans="1:4">
      <c r="A92" s="1" t="s">
        <v>283</v>
      </c>
      <c r="B92" s="2" t="s">
        <v>32</v>
      </c>
      <c r="C92" s="9">
        <f>1.309</f>
        <v>1.3089999999999999</v>
      </c>
      <c r="D92" s="4"/>
    </row>
    <row r="93" spans="1:4">
      <c r="A93" s="1" t="s">
        <v>266</v>
      </c>
      <c r="B93" s="2" t="s">
        <v>32</v>
      </c>
      <c r="C93" s="9">
        <f>0.014</f>
        <v>1.4E-2</v>
      </c>
      <c r="D93" s="4"/>
    </row>
    <row r="94" spans="1:4">
      <c r="A94" s="1" t="s">
        <v>269</v>
      </c>
      <c r="B94" s="2" t="s">
        <v>32</v>
      </c>
      <c r="C94" s="9">
        <f>0.2</f>
        <v>0.2</v>
      </c>
      <c r="D94" s="4"/>
    </row>
    <row r="95" spans="1:4">
      <c r="A95" s="1" t="s">
        <v>271</v>
      </c>
      <c r="B95" s="2" t="s">
        <v>31</v>
      </c>
      <c r="C95" s="9">
        <v>63.5</v>
      </c>
      <c r="D95" s="4"/>
    </row>
    <row r="96" spans="1:4">
      <c r="A96" s="1" t="s">
        <v>275</v>
      </c>
      <c r="B96" s="2" t="s">
        <v>32</v>
      </c>
      <c r="C96" s="9">
        <f>0.12</f>
        <v>0.12</v>
      </c>
      <c r="D96" s="4"/>
    </row>
    <row r="97" spans="1:5">
      <c r="A97" s="1" t="s">
        <v>276</v>
      </c>
      <c r="B97" s="2" t="s">
        <v>32</v>
      </c>
      <c r="C97" s="9">
        <f>0.064</f>
        <v>6.4000000000000001E-2</v>
      </c>
      <c r="D97" s="4"/>
    </row>
    <row r="98" spans="1:5">
      <c r="A98" s="1" t="s">
        <v>277</v>
      </c>
      <c r="B98" s="2" t="s">
        <v>31</v>
      </c>
      <c r="C98" s="9">
        <f>11.5</f>
        <v>11.5</v>
      </c>
      <c r="D98" s="4"/>
    </row>
    <row r="99" spans="1:5">
      <c r="A99" s="1" t="s">
        <v>263</v>
      </c>
      <c r="B99" s="2" t="s">
        <v>31</v>
      </c>
      <c r="C99" s="9">
        <f>6</f>
        <v>6</v>
      </c>
      <c r="D99" s="4"/>
    </row>
    <row r="100" spans="1:5">
      <c r="A100" s="1" t="s">
        <v>62</v>
      </c>
      <c r="B100" s="2" t="s">
        <v>32</v>
      </c>
      <c r="C100" s="9">
        <f>0.039</f>
        <v>3.9E-2</v>
      </c>
      <c r="D100" s="4"/>
    </row>
    <row r="101" spans="1:5">
      <c r="A101" s="1" t="s">
        <v>77</v>
      </c>
      <c r="B101" s="2" t="s">
        <v>32</v>
      </c>
      <c r="C101" s="9">
        <f>0.048</f>
        <v>4.8000000000000001E-2</v>
      </c>
      <c r="D101" s="4"/>
    </row>
    <row r="102" spans="1:5">
      <c r="A102" s="1" t="s">
        <v>61</v>
      </c>
      <c r="B102" s="2" t="s">
        <v>32</v>
      </c>
      <c r="C102" s="9">
        <f>0.123+0.344</f>
        <v>0.46699999999999997</v>
      </c>
      <c r="D102" s="4"/>
    </row>
    <row r="103" spans="1:5">
      <c r="A103" s="1" t="s">
        <v>63</v>
      </c>
      <c r="B103" s="2" t="s">
        <v>32</v>
      </c>
      <c r="C103" s="9">
        <f>0.312+0.743</f>
        <v>1.0549999999999999</v>
      </c>
      <c r="D103" s="4"/>
    </row>
    <row r="104" spans="1:5">
      <c r="A104" s="1" t="s">
        <v>64</v>
      </c>
      <c r="B104" s="2" t="s">
        <v>32</v>
      </c>
      <c r="C104" s="9">
        <f>0.608+0.301+0.191</f>
        <v>1.1000000000000001</v>
      </c>
      <c r="D104" s="4"/>
      <c r="E104" s="8"/>
    </row>
    <row r="105" spans="1:5">
      <c r="A105" s="1" t="s">
        <v>278</v>
      </c>
      <c r="B105" s="2" t="s">
        <v>31</v>
      </c>
      <c r="C105" s="9">
        <f>26+13</f>
        <v>39</v>
      </c>
      <c r="D105" s="4"/>
      <c r="E105" s="8"/>
    </row>
    <row r="106" spans="1:5">
      <c r="A106" s="1" t="s">
        <v>279</v>
      </c>
      <c r="B106" s="2" t="s">
        <v>31</v>
      </c>
      <c r="C106" s="9">
        <f>6</f>
        <v>6</v>
      </c>
      <c r="D106" s="4"/>
      <c r="E106" s="8"/>
    </row>
    <row r="107" spans="1:5">
      <c r="A107" s="1" t="s">
        <v>181</v>
      </c>
      <c r="B107" s="2" t="s">
        <v>34</v>
      </c>
      <c r="C107" s="9"/>
      <c r="D107" s="4">
        <v>0.09</v>
      </c>
      <c r="E107" s="8"/>
    </row>
    <row r="108" spans="1:5">
      <c r="A108" s="1" t="s">
        <v>182</v>
      </c>
      <c r="B108" s="2" t="s">
        <v>34</v>
      </c>
      <c r="C108" s="9"/>
      <c r="D108" s="4">
        <f>28.29+16.91</f>
        <v>45.2</v>
      </c>
      <c r="E108" s="8"/>
    </row>
    <row r="109" spans="1:5">
      <c r="A109" s="1" t="s">
        <v>183</v>
      </c>
      <c r="B109" s="2" t="s">
        <v>34</v>
      </c>
      <c r="C109" s="9"/>
      <c r="D109" s="4">
        <f>106.93+0.47</f>
        <v>107.4</v>
      </c>
      <c r="E109" s="8"/>
    </row>
    <row r="110" spans="1:5">
      <c r="A110" s="1" t="s">
        <v>184</v>
      </c>
      <c r="B110" s="2" t="s">
        <v>34</v>
      </c>
      <c r="C110" s="9"/>
      <c r="D110" s="4">
        <v>22.63</v>
      </c>
      <c r="E110" s="8"/>
    </row>
    <row r="111" spans="1:5">
      <c r="A111" s="1" t="s">
        <v>185</v>
      </c>
      <c r="B111" s="2" t="s">
        <v>34</v>
      </c>
      <c r="C111" s="9">
        <f>1.3+1.43</f>
        <v>2.73</v>
      </c>
      <c r="D111" s="4">
        <v>15.66</v>
      </c>
      <c r="E111" s="8"/>
    </row>
    <row r="112" spans="1:5">
      <c r="A112" s="1" t="s">
        <v>186</v>
      </c>
      <c r="B112" s="2" t="s">
        <v>38</v>
      </c>
      <c r="C112" s="9">
        <f>8.4</f>
        <v>8.4</v>
      </c>
      <c r="D112" s="4">
        <v>9132.6</v>
      </c>
      <c r="E112" s="8"/>
    </row>
    <row r="113" spans="1:5">
      <c r="A113" s="1" t="s">
        <v>187</v>
      </c>
      <c r="B113" s="2" t="s">
        <v>188</v>
      </c>
      <c r="C113" s="9">
        <f>208.5</f>
        <v>208.5</v>
      </c>
      <c r="D113" s="4">
        <v>365.4</v>
      </c>
      <c r="E113" s="8"/>
    </row>
    <row r="114" spans="1:5">
      <c r="A114" s="1" t="s">
        <v>293</v>
      </c>
      <c r="B114" s="2" t="s">
        <v>46</v>
      </c>
      <c r="C114" s="9">
        <f>4</f>
        <v>4</v>
      </c>
      <c r="D114" s="4"/>
      <c r="E114" s="8"/>
    </row>
    <row r="115" spans="1:5">
      <c r="A115" s="1" t="s">
        <v>286</v>
      </c>
      <c r="B115" s="2" t="s">
        <v>46</v>
      </c>
      <c r="C115" s="9">
        <f>4</f>
        <v>4</v>
      </c>
      <c r="D115" s="4">
        <v>2</v>
      </c>
      <c r="E115" s="8"/>
    </row>
    <row r="116" spans="1:5">
      <c r="A116" s="1" t="s">
        <v>194</v>
      </c>
      <c r="B116" s="2" t="s">
        <v>46</v>
      </c>
      <c r="C116" s="9"/>
      <c r="D116" s="4">
        <v>2</v>
      </c>
      <c r="E116" s="8"/>
    </row>
    <row r="117" spans="1:5">
      <c r="A117" s="1" t="s">
        <v>287</v>
      </c>
      <c r="B117" s="2" t="s">
        <v>46</v>
      </c>
      <c r="C117" s="9">
        <v>1</v>
      </c>
      <c r="D117" s="4"/>
      <c r="E117" s="8" t="s">
        <v>288</v>
      </c>
    </row>
    <row r="118" spans="1:5">
      <c r="A118" s="1" t="s">
        <v>289</v>
      </c>
      <c r="B118" s="2" t="s">
        <v>46</v>
      </c>
      <c r="C118" s="9">
        <v>6</v>
      </c>
      <c r="D118" s="4"/>
      <c r="E118" s="8"/>
    </row>
    <row r="119" spans="1:5">
      <c r="A119" s="1" t="s">
        <v>290</v>
      </c>
      <c r="B119" s="2" t="s">
        <v>46</v>
      </c>
      <c r="C119" s="9">
        <v>8</v>
      </c>
      <c r="D119" s="4"/>
      <c r="E119" s="8"/>
    </row>
    <row r="120" spans="1:5">
      <c r="A120" s="1" t="s">
        <v>291</v>
      </c>
      <c r="B120" s="2" t="s">
        <v>46</v>
      </c>
      <c r="C120" s="9">
        <v>1</v>
      </c>
      <c r="D120" s="4"/>
      <c r="E120" s="8" t="s">
        <v>292</v>
      </c>
    </row>
    <row r="121" spans="1:5">
      <c r="A121" s="1" t="s">
        <v>225</v>
      </c>
      <c r="B121" s="2" t="s">
        <v>31</v>
      </c>
      <c r="C121" s="9">
        <f>4</f>
        <v>4</v>
      </c>
      <c r="D121" s="4"/>
      <c r="E121" s="8"/>
    </row>
    <row r="122" spans="1:5">
      <c r="A122" s="1" t="s">
        <v>129</v>
      </c>
      <c r="B122" s="2" t="s">
        <v>31</v>
      </c>
      <c r="C122" s="9"/>
      <c r="D122" s="4">
        <v>131</v>
      </c>
      <c r="E122" s="8"/>
    </row>
    <row r="123" spans="1:5">
      <c r="A123" s="1" t="s">
        <v>130</v>
      </c>
      <c r="B123" s="2" t="s">
        <v>31</v>
      </c>
      <c r="C123" s="9"/>
      <c r="D123" s="4">
        <f>6.5</f>
        <v>6.5</v>
      </c>
      <c r="E123" s="8"/>
    </row>
    <row r="124" spans="1:5">
      <c r="A124" s="1" t="s">
        <v>131</v>
      </c>
      <c r="B124" s="2" t="s">
        <v>31</v>
      </c>
      <c r="C124" s="9">
        <f>51.5+20</f>
        <v>71.5</v>
      </c>
      <c r="D124" s="4">
        <v>11.5</v>
      </c>
      <c r="E124" s="8"/>
    </row>
    <row r="125" spans="1:5">
      <c r="A125" s="1" t="s">
        <v>132</v>
      </c>
      <c r="B125" s="2" t="s">
        <v>31</v>
      </c>
      <c r="C125" s="9">
        <f>3.5</f>
        <v>3.5</v>
      </c>
      <c r="D125" s="4">
        <f>205</f>
        <v>205</v>
      </c>
      <c r="E125" s="8"/>
    </row>
    <row r="126" spans="1:5">
      <c r="A126" s="1" t="s">
        <v>133</v>
      </c>
      <c r="B126" s="2" t="s">
        <v>31</v>
      </c>
      <c r="C126" s="9"/>
      <c r="D126" s="4">
        <v>118</v>
      </c>
      <c r="E126" s="8"/>
    </row>
    <row r="127" spans="1:5">
      <c r="A127" s="1" t="s">
        <v>134</v>
      </c>
      <c r="B127" s="2" t="s">
        <v>31</v>
      </c>
      <c r="C127" s="9">
        <f>244.5+194.5+11</f>
        <v>450</v>
      </c>
      <c r="D127" s="4">
        <v>972</v>
      </c>
      <c r="E127" s="8"/>
    </row>
    <row r="128" spans="1:5">
      <c r="A128" s="1" t="s">
        <v>135</v>
      </c>
      <c r="B128" s="2" t="s">
        <v>31</v>
      </c>
      <c r="C128" s="9"/>
      <c r="D128" s="4">
        <v>445.5</v>
      </c>
      <c r="E128" s="8"/>
    </row>
    <row r="129" spans="1:5">
      <c r="A129" s="1" t="s">
        <v>136</v>
      </c>
      <c r="B129" s="2" t="s">
        <v>31</v>
      </c>
      <c r="C129" s="9">
        <f>7.5</f>
        <v>7.5</v>
      </c>
      <c r="D129" s="4">
        <v>928</v>
      </c>
      <c r="E129" s="8"/>
    </row>
    <row r="130" spans="1:5">
      <c r="A130" s="1" t="s">
        <v>125</v>
      </c>
      <c r="B130" s="2" t="s">
        <v>31</v>
      </c>
      <c r="C130" s="9"/>
      <c r="D130" s="4">
        <f>411</f>
        <v>411</v>
      </c>
      <c r="E130" s="8"/>
    </row>
    <row r="131" spans="1:5">
      <c r="A131" s="1" t="s">
        <v>126</v>
      </c>
      <c r="B131" s="2" t="s">
        <v>31</v>
      </c>
      <c r="C131" s="9">
        <f>7</f>
        <v>7</v>
      </c>
      <c r="D131" s="4">
        <f>838.5</f>
        <v>838.5</v>
      </c>
      <c r="E131" s="8"/>
    </row>
    <row r="132" spans="1:5">
      <c r="A132" s="1" t="s">
        <v>127</v>
      </c>
      <c r="B132" s="2" t="s">
        <v>31</v>
      </c>
      <c r="C132" s="9"/>
      <c r="D132" s="4">
        <f>0.5</f>
        <v>0.5</v>
      </c>
      <c r="E132" s="8"/>
    </row>
    <row r="133" spans="1:5">
      <c r="A133" s="1" t="s">
        <v>128</v>
      </c>
      <c r="B133" s="2" t="s">
        <v>31</v>
      </c>
      <c r="C133" s="9"/>
      <c r="D133" s="4">
        <v>1161</v>
      </c>
      <c r="E133" s="8"/>
    </row>
    <row r="134" spans="1:5">
      <c r="A134" s="1" t="s">
        <v>110</v>
      </c>
      <c r="B134" s="2" t="s">
        <v>46</v>
      </c>
      <c r="C134" s="9"/>
      <c r="D134" s="4">
        <f>1</f>
        <v>1</v>
      </c>
      <c r="E134" s="8"/>
    </row>
    <row r="135" spans="1:5">
      <c r="A135" s="1" t="s">
        <v>111</v>
      </c>
      <c r="B135" s="2" t="s">
        <v>46</v>
      </c>
      <c r="C135" s="9"/>
      <c r="D135" s="4">
        <f>1</f>
        <v>1</v>
      </c>
      <c r="E135" s="8"/>
    </row>
    <row r="136" spans="1:5">
      <c r="A136" s="1" t="s">
        <v>226</v>
      </c>
      <c r="B136" s="2" t="s">
        <v>46</v>
      </c>
      <c r="C136" s="9">
        <v>1</v>
      </c>
      <c r="D136" s="4"/>
      <c r="E136" s="8"/>
    </row>
    <row r="137" spans="1:5">
      <c r="A137" s="1" t="s">
        <v>227</v>
      </c>
      <c r="B137" s="2" t="s">
        <v>46</v>
      </c>
      <c r="C137" s="9">
        <v>1</v>
      </c>
      <c r="D137" s="4"/>
      <c r="E137" s="8"/>
    </row>
    <row r="138" spans="1:5">
      <c r="A138" s="1" t="s">
        <v>228</v>
      </c>
      <c r="B138" s="2" t="s">
        <v>46</v>
      </c>
      <c r="C138" s="9">
        <v>1</v>
      </c>
      <c r="D138" s="4"/>
      <c r="E138" s="8"/>
    </row>
    <row r="139" spans="1:5">
      <c r="A139" s="1" t="s">
        <v>91</v>
      </c>
      <c r="B139" s="2" t="s">
        <v>46</v>
      </c>
      <c r="C139" s="9">
        <f>4+12</f>
        <v>16</v>
      </c>
      <c r="D139" s="4">
        <f>24</f>
        <v>24</v>
      </c>
      <c r="E139" s="8"/>
    </row>
    <row r="140" spans="1:5">
      <c r="A140" s="1" t="s">
        <v>92</v>
      </c>
      <c r="B140" s="2" t="s">
        <v>46</v>
      </c>
      <c r="C140" s="9">
        <f>5+3</f>
        <v>8</v>
      </c>
      <c r="D140" s="4">
        <f>4</f>
        <v>4</v>
      </c>
      <c r="E140" s="8"/>
    </row>
    <row r="141" spans="1:5">
      <c r="A141" s="1" t="s">
        <v>93</v>
      </c>
      <c r="B141" s="2" t="s">
        <v>46</v>
      </c>
      <c r="C141" s="9"/>
      <c r="D141" s="4">
        <f>3</f>
        <v>3</v>
      </c>
      <c r="E141" s="8"/>
    </row>
    <row r="142" spans="1:5">
      <c r="A142" s="1" t="s">
        <v>89</v>
      </c>
      <c r="B142" s="2" t="s">
        <v>46</v>
      </c>
      <c r="C142" s="9"/>
      <c r="D142" s="4">
        <f>2</f>
        <v>2</v>
      </c>
      <c r="E142" s="8"/>
    </row>
    <row r="143" spans="1:5">
      <c r="A143" s="1" t="s">
        <v>90</v>
      </c>
      <c r="B143" s="2" t="s">
        <v>46</v>
      </c>
      <c r="C143" s="9"/>
      <c r="D143" s="4">
        <f>1</f>
        <v>1</v>
      </c>
      <c r="E143" s="8"/>
    </row>
    <row r="144" spans="1:5">
      <c r="A144" s="1" t="s">
        <v>229</v>
      </c>
      <c r="B144" s="2" t="s">
        <v>46</v>
      </c>
      <c r="C144" s="9">
        <v>2</v>
      </c>
      <c r="D144" s="4"/>
      <c r="E144" s="8"/>
    </row>
    <row r="145" spans="1:5">
      <c r="A145" s="1" t="s">
        <v>230</v>
      </c>
      <c r="B145" s="2" t="s">
        <v>46</v>
      </c>
      <c r="C145" s="9">
        <v>2</v>
      </c>
      <c r="D145" s="4"/>
      <c r="E145" s="8"/>
    </row>
    <row r="146" spans="1:5">
      <c r="A146" s="1" t="s">
        <v>234</v>
      </c>
      <c r="B146" s="2" t="s">
        <v>46</v>
      </c>
      <c r="C146" s="9">
        <f>17+24</f>
        <v>41</v>
      </c>
      <c r="D146" s="4"/>
      <c r="E146" s="8"/>
    </row>
    <row r="147" spans="1:5">
      <c r="A147" s="1" t="s">
        <v>97</v>
      </c>
      <c r="B147" s="2" t="s">
        <v>46</v>
      </c>
      <c r="C147" s="9"/>
      <c r="D147" s="4">
        <f>73</f>
        <v>73</v>
      </c>
      <c r="E147" s="8"/>
    </row>
    <row r="148" spans="1:5">
      <c r="A148" s="1" t="s">
        <v>100</v>
      </c>
      <c r="B148" s="2" t="s">
        <v>46</v>
      </c>
      <c r="C148" s="9">
        <f>1+3</f>
        <v>4</v>
      </c>
      <c r="D148" s="4">
        <f>12</f>
        <v>12</v>
      </c>
      <c r="E148" s="8"/>
    </row>
    <row r="149" spans="1:5">
      <c r="A149" s="1" t="s">
        <v>235</v>
      </c>
      <c r="B149" s="2" t="s">
        <v>46</v>
      </c>
      <c r="C149" s="9">
        <f>2</f>
        <v>2</v>
      </c>
      <c r="D149" s="4"/>
      <c r="E149" s="8"/>
    </row>
    <row r="150" spans="1:5">
      <c r="A150" s="1" t="s">
        <v>101</v>
      </c>
      <c r="B150" s="2" t="s">
        <v>46</v>
      </c>
      <c r="C150" s="9"/>
      <c r="D150" s="4">
        <f>1</f>
        <v>1</v>
      </c>
      <c r="E150" s="8"/>
    </row>
    <row r="151" spans="1:5">
      <c r="A151" s="1" t="s">
        <v>102</v>
      </c>
      <c r="B151" s="2" t="s">
        <v>46</v>
      </c>
      <c r="C151" s="9"/>
      <c r="D151" s="4">
        <f>1</f>
        <v>1</v>
      </c>
      <c r="E151" s="8"/>
    </row>
    <row r="152" spans="1:5">
      <c r="A152" s="1" t="s">
        <v>231</v>
      </c>
      <c r="B152" s="2" t="s">
        <v>46</v>
      </c>
      <c r="C152" s="9">
        <f>2</f>
        <v>2</v>
      </c>
      <c r="D152" s="4"/>
      <c r="E152" s="8"/>
    </row>
    <row r="153" spans="1:5">
      <c r="A153" s="1" t="s">
        <v>94</v>
      </c>
      <c r="B153" s="2" t="s">
        <v>46</v>
      </c>
      <c r="C153" s="9"/>
      <c r="D153" s="4">
        <f>1</f>
        <v>1</v>
      </c>
      <c r="E153" s="8"/>
    </row>
    <row r="154" spans="1:5">
      <c r="A154" s="1" t="s">
        <v>95</v>
      </c>
      <c r="B154" s="2" t="s">
        <v>46</v>
      </c>
      <c r="C154" s="9"/>
      <c r="D154" s="4">
        <f>2</f>
        <v>2</v>
      </c>
      <c r="E154" s="8"/>
    </row>
    <row r="155" spans="1:5">
      <c r="A155" s="1" t="s">
        <v>96</v>
      </c>
      <c r="B155" s="2" t="s">
        <v>46</v>
      </c>
      <c r="C155" s="9"/>
      <c r="D155" s="4">
        <f>1</f>
        <v>1</v>
      </c>
      <c r="E155" s="8"/>
    </row>
    <row r="156" spans="1:5">
      <c r="A156" s="1" t="s">
        <v>232</v>
      </c>
      <c r="B156" s="2" t="s">
        <v>46</v>
      </c>
      <c r="C156" s="9">
        <f>2</f>
        <v>2</v>
      </c>
      <c r="D156" s="4"/>
      <c r="E156" s="8"/>
    </row>
    <row r="157" spans="1:5">
      <c r="A157" s="1" t="s">
        <v>233</v>
      </c>
      <c r="B157" s="2" t="s">
        <v>46</v>
      </c>
      <c r="C157" s="9">
        <f>4</f>
        <v>4</v>
      </c>
      <c r="D157" s="4"/>
      <c r="E157" s="8"/>
    </row>
    <row r="158" spans="1:5">
      <c r="A158" s="1" t="s">
        <v>98</v>
      </c>
      <c r="B158" s="2" t="s">
        <v>46</v>
      </c>
      <c r="C158" s="9">
        <f>3</f>
        <v>3</v>
      </c>
      <c r="D158" s="4">
        <f>2</f>
        <v>2</v>
      </c>
      <c r="E158" s="8"/>
    </row>
    <row r="159" spans="1:5">
      <c r="A159" s="1" t="s">
        <v>99</v>
      </c>
      <c r="B159" s="2" t="s">
        <v>46</v>
      </c>
      <c r="C159" s="9"/>
      <c r="D159" s="4">
        <f>1</f>
        <v>1</v>
      </c>
      <c r="E159" s="8"/>
    </row>
    <row r="160" spans="1:5">
      <c r="A160" s="1" t="s">
        <v>164</v>
      </c>
      <c r="B160" s="2" t="s">
        <v>46</v>
      </c>
      <c r="C160" s="9">
        <f>11</f>
        <v>11</v>
      </c>
      <c r="D160" s="4">
        <v>77</v>
      </c>
      <c r="E160" s="8"/>
    </row>
    <row r="161" spans="1:5">
      <c r="A161" s="1" t="s">
        <v>165</v>
      </c>
      <c r="B161" s="2" t="s">
        <v>46</v>
      </c>
      <c r="C161" s="9"/>
      <c r="D161" s="4">
        <v>1</v>
      </c>
      <c r="E161" s="8"/>
    </row>
    <row r="162" spans="1:5">
      <c r="A162" s="1" t="s">
        <v>168</v>
      </c>
      <c r="B162" s="2" t="s">
        <v>46</v>
      </c>
      <c r="C162" s="9"/>
      <c r="D162" s="4">
        <v>8</v>
      </c>
      <c r="E162" s="8"/>
    </row>
    <row r="163" spans="1:5">
      <c r="A163" s="1" t="s">
        <v>261</v>
      </c>
      <c r="B163" s="2" t="s">
        <v>46</v>
      </c>
      <c r="C163" s="9">
        <v>2</v>
      </c>
      <c r="D163" s="4"/>
      <c r="E163" s="8"/>
    </row>
    <row r="164" spans="1:5">
      <c r="A164" s="1" t="s">
        <v>169</v>
      </c>
      <c r="B164" s="2" t="s">
        <v>46</v>
      </c>
      <c r="C164" s="9">
        <f>41+55</f>
        <v>96</v>
      </c>
      <c r="D164" s="4">
        <v>1773</v>
      </c>
      <c r="E164" s="8"/>
    </row>
    <row r="165" spans="1:5">
      <c r="A165" s="1" t="s">
        <v>170</v>
      </c>
      <c r="B165" s="2" t="s">
        <v>46</v>
      </c>
      <c r="C165" s="9"/>
      <c r="D165" s="4">
        <f>5+8</f>
        <v>13</v>
      </c>
      <c r="E165" s="8"/>
    </row>
    <row r="166" spans="1:5">
      <c r="A166" s="1" t="s">
        <v>171</v>
      </c>
      <c r="B166" s="2" t="s">
        <v>46</v>
      </c>
      <c r="C166" s="9"/>
      <c r="D166" s="4">
        <v>1</v>
      </c>
      <c r="E166" s="8"/>
    </row>
    <row r="167" spans="1:5">
      <c r="A167" s="1" t="s">
        <v>172</v>
      </c>
      <c r="B167" s="2" t="s">
        <v>46</v>
      </c>
      <c r="C167" s="9">
        <f>6</f>
        <v>6</v>
      </c>
      <c r="D167" s="4">
        <v>1187</v>
      </c>
      <c r="E167" s="8"/>
    </row>
    <row r="168" spans="1:5">
      <c r="A168" s="1" t="s">
        <v>173</v>
      </c>
      <c r="B168" s="2" t="s">
        <v>46</v>
      </c>
      <c r="C168" s="9"/>
      <c r="D168" s="4">
        <v>345</v>
      </c>
      <c r="E168" s="8"/>
    </row>
    <row r="169" spans="1:5">
      <c r="A169" s="1" t="s">
        <v>258</v>
      </c>
      <c r="B169" s="2" t="s">
        <v>46</v>
      </c>
      <c r="C169" s="9">
        <v>1</v>
      </c>
      <c r="D169" s="4"/>
      <c r="E169" s="8"/>
    </row>
    <row r="170" spans="1:5">
      <c r="A170" s="1" t="s">
        <v>149</v>
      </c>
      <c r="B170" s="2" t="s">
        <v>46</v>
      </c>
      <c r="C170" s="9"/>
      <c r="D170" s="4">
        <v>2</v>
      </c>
      <c r="E170" s="8"/>
    </row>
    <row r="171" spans="1:5">
      <c r="A171" s="1" t="s">
        <v>150</v>
      </c>
      <c r="B171" s="2" t="s">
        <v>46</v>
      </c>
      <c r="C171" s="9">
        <f>20</f>
        <v>20</v>
      </c>
      <c r="D171" s="4">
        <f>419</f>
        <v>419</v>
      </c>
      <c r="E171" s="8"/>
    </row>
    <row r="172" spans="1:5">
      <c r="A172" s="1" t="s">
        <v>151</v>
      </c>
      <c r="B172" s="2" t="s">
        <v>46</v>
      </c>
      <c r="C172" s="9"/>
      <c r="D172" s="4">
        <f>295</f>
        <v>295</v>
      </c>
      <c r="E172" s="8"/>
    </row>
    <row r="173" spans="1:5">
      <c r="A173" s="1" t="s">
        <v>152</v>
      </c>
      <c r="B173" s="2" t="s">
        <v>46</v>
      </c>
      <c r="C173" s="9"/>
      <c r="D173" s="4">
        <f>3</f>
        <v>3</v>
      </c>
      <c r="E173" s="8"/>
    </row>
    <row r="174" spans="1:5">
      <c r="A174" s="1" t="s">
        <v>153</v>
      </c>
      <c r="B174" s="2" t="s">
        <v>46</v>
      </c>
      <c r="C174" s="9"/>
      <c r="D174" s="4">
        <f>56</f>
        <v>56</v>
      </c>
      <c r="E174" s="8"/>
    </row>
    <row r="175" spans="1:5">
      <c r="A175" s="1" t="s">
        <v>154</v>
      </c>
      <c r="B175" s="2" t="s">
        <v>46</v>
      </c>
      <c r="C175" s="9"/>
      <c r="D175" s="4">
        <v>1</v>
      </c>
      <c r="E175" s="8"/>
    </row>
    <row r="176" spans="1:5">
      <c r="A176" s="1" t="s">
        <v>155</v>
      </c>
      <c r="B176" s="2" t="s">
        <v>46</v>
      </c>
      <c r="C176" s="9">
        <f>7</f>
        <v>7</v>
      </c>
      <c r="D176" s="4">
        <f>1227</f>
        <v>1227</v>
      </c>
      <c r="E176" s="8"/>
    </row>
    <row r="177" spans="1:5">
      <c r="A177" s="1" t="s">
        <v>156</v>
      </c>
      <c r="B177" s="2" t="s">
        <v>46</v>
      </c>
      <c r="C177" s="9"/>
      <c r="D177" s="4">
        <f>1</f>
        <v>1</v>
      </c>
      <c r="E177" s="8"/>
    </row>
    <row r="178" spans="1:5">
      <c r="A178" s="1" t="s">
        <v>157</v>
      </c>
      <c r="B178" s="2" t="s">
        <v>46</v>
      </c>
      <c r="C178" s="9"/>
      <c r="D178" s="4">
        <v>4</v>
      </c>
      <c r="E178" s="8"/>
    </row>
    <row r="179" spans="1:5">
      <c r="A179" s="1" t="s">
        <v>158</v>
      </c>
      <c r="B179" s="2" t="s">
        <v>46</v>
      </c>
      <c r="C179" s="9">
        <f>22</f>
        <v>22</v>
      </c>
      <c r="D179" s="4">
        <v>623</v>
      </c>
      <c r="E179" s="8"/>
    </row>
    <row r="180" spans="1:5">
      <c r="A180" s="1" t="s">
        <v>159</v>
      </c>
      <c r="B180" s="2" t="s">
        <v>46</v>
      </c>
      <c r="C180" s="9">
        <f>38</f>
        <v>38</v>
      </c>
      <c r="D180" s="4">
        <v>39</v>
      </c>
      <c r="E180" s="8"/>
    </row>
    <row r="181" spans="1:5">
      <c r="A181" s="1" t="s">
        <v>160</v>
      </c>
      <c r="B181" s="2" t="s">
        <v>46</v>
      </c>
      <c r="C181" s="9"/>
      <c r="D181" s="4">
        <v>1</v>
      </c>
      <c r="E181" s="8"/>
    </row>
    <row r="182" spans="1:5">
      <c r="A182" s="1" t="s">
        <v>161</v>
      </c>
      <c r="B182" s="2" t="s">
        <v>46</v>
      </c>
      <c r="C182" s="9"/>
      <c r="D182" s="4">
        <v>10</v>
      </c>
      <c r="E182" s="8"/>
    </row>
    <row r="183" spans="1:5">
      <c r="A183" s="1" t="s">
        <v>162</v>
      </c>
      <c r="B183" s="2" t="s">
        <v>46</v>
      </c>
      <c r="C183" s="9">
        <f>13</f>
        <v>13</v>
      </c>
      <c r="D183" s="4">
        <f>163</f>
        <v>163</v>
      </c>
      <c r="E183" s="8"/>
    </row>
    <row r="184" spans="1:5">
      <c r="A184" s="1" t="s">
        <v>163</v>
      </c>
      <c r="B184" s="2" t="s">
        <v>46</v>
      </c>
      <c r="C184" s="9"/>
      <c r="D184" s="4">
        <v>10</v>
      </c>
      <c r="E184" s="8"/>
    </row>
    <row r="185" spans="1:5">
      <c r="A185" s="1" t="s">
        <v>166</v>
      </c>
      <c r="B185" s="2" t="s">
        <v>46</v>
      </c>
      <c r="C185" s="9"/>
      <c r="D185" s="4">
        <v>52</v>
      </c>
      <c r="E185" s="8"/>
    </row>
    <row r="186" spans="1:5">
      <c r="A186" s="1" t="s">
        <v>167</v>
      </c>
      <c r="B186" s="2" t="s">
        <v>46</v>
      </c>
      <c r="C186" s="9"/>
      <c r="D186" s="4">
        <v>3</v>
      </c>
      <c r="E186" s="8"/>
    </row>
    <row r="187" spans="1:5">
      <c r="A187" s="1" t="s">
        <v>259</v>
      </c>
      <c r="B187" s="2" t="s">
        <v>46</v>
      </c>
      <c r="C187" s="9">
        <f>9</f>
        <v>9</v>
      </c>
      <c r="D187" s="4"/>
      <c r="E187" s="8"/>
    </row>
    <row r="188" spans="1:5">
      <c r="A188" s="1" t="s">
        <v>260</v>
      </c>
      <c r="B188" s="2" t="s">
        <v>46</v>
      </c>
      <c r="C188" s="9">
        <f>2</f>
        <v>2</v>
      </c>
      <c r="D188" s="4"/>
      <c r="E188" s="8"/>
    </row>
    <row r="189" spans="1:5">
      <c r="A189" s="1" t="s">
        <v>123</v>
      </c>
      <c r="B189" s="2" t="s">
        <v>46</v>
      </c>
      <c r="C189" s="9"/>
      <c r="D189" s="4">
        <f>32</f>
        <v>32</v>
      </c>
      <c r="E189" s="8"/>
    </row>
    <row r="190" spans="1:5">
      <c r="A190" s="1" t="s">
        <v>124</v>
      </c>
      <c r="B190" s="2" t="s">
        <v>46</v>
      </c>
      <c r="C190" s="9"/>
      <c r="D190" s="4">
        <f>10</f>
        <v>10</v>
      </c>
      <c r="E190" s="8"/>
    </row>
    <row r="191" spans="1:5">
      <c r="A191" s="1" t="s">
        <v>236</v>
      </c>
      <c r="B191" s="2" t="s">
        <v>46</v>
      </c>
      <c r="C191" s="9">
        <f>20</f>
        <v>20</v>
      </c>
      <c r="D191" s="4"/>
      <c r="E191" s="8"/>
    </row>
    <row r="192" spans="1:5">
      <c r="A192" s="1" t="s">
        <v>237</v>
      </c>
      <c r="B192" s="2" t="s">
        <v>46</v>
      </c>
      <c r="C192" s="9">
        <f>18</f>
        <v>18</v>
      </c>
      <c r="D192" s="4"/>
      <c r="E192" s="8"/>
    </row>
    <row r="193" spans="1:5">
      <c r="A193" s="1" t="s">
        <v>238</v>
      </c>
      <c r="B193" s="2" t="s">
        <v>239</v>
      </c>
      <c r="C193" s="9">
        <f>11.2</f>
        <v>11.2</v>
      </c>
      <c r="D193" s="4"/>
      <c r="E193" s="8"/>
    </row>
    <row r="194" spans="1:5">
      <c r="A194" s="1" t="s">
        <v>240</v>
      </c>
      <c r="B194" s="2" t="s">
        <v>46</v>
      </c>
      <c r="C194" s="9">
        <f>1</f>
        <v>1</v>
      </c>
      <c r="D194" s="4"/>
      <c r="E194" s="8"/>
    </row>
    <row r="195" spans="1:5">
      <c r="A195" s="1" t="s">
        <v>241</v>
      </c>
      <c r="B195" s="2" t="s">
        <v>46</v>
      </c>
      <c r="C195" s="9">
        <f>20</f>
        <v>20</v>
      </c>
      <c r="D195" s="4"/>
      <c r="E195" s="8"/>
    </row>
    <row r="196" spans="1:5">
      <c r="A196" s="1" t="s">
        <v>242</v>
      </c>
      <c r="B196" s="2" t="s">
        <v>46</v>
      </c>
      <c r="C196" s="9">
        <f>5+3</f>
        <v>8</v>
      </c>
      <c r="D196" s="4"/>
      <c r="E196" s="8"/>
    </row>
    <row r="197" spans="1:5">
      <c r="A197" s="1" t="s">
        <v>243</v>
      </c>
      <c r="B197" s="2" t="s">
        <v>46</v>
      </c>
      <c r="C197" s="9">
        <v>1</v>
      </c>
      <c r="D197" s="4"/>
      <c r="E197" s="8"/>
    </row>
    <row r="198" spans="1:5">
      <c r="A198" s="1" t="s">
        <v>244</v>
      </c>
      <c r="B198" s="2" t="s">
        <v>46</v>
      </c>
      <c r="C198" s="9">
        <f>10</f>
        <v>10</v>
      </c>
      <c r="D198" s="4"/>
      <c r="E198" s="8"/>
    </row>
    <row r="199" spans="1:5">
      <c r="A199" s="1" t="s">
        <v>250</v>
      </c>
      <c r="B199" s="2" t="s">
        <v>32</v>
      </c>
      <c r="C199" s="9">
        <f>2.832+2.531+0.583</f>
        <v>5.9459999999999997</v>
      </c>
      <c r="D199" s="4"/>
      <c r="E199" s="8"/>
    </row>
    <row r="200" spans="1:5">
      <c r="A200" s="1" t="s">
        <v>78</v>
      </c>
      <c r="B200" s="2" t="s">
        <v>38</v>
      </c>
      <c r="C200" s="9">
        <f>0.2</f>
        <v>0.2</v>
      </c>
      <c r="D200" s="4"/>
      <c r="E200" s="8"/>
    </row>
    <row r="201" spans="1:5">
      <c r="A201" s="1" t="s">
        <v>79</v>
      </c>
      <c r="B201" s="2" t="s">
        <v>38</v>
      </c>
      <c r="C201" s="9">
        <v>33</v>
      </c>
      <c r="D201" s="4"/>
    </row>
    <row r="202" spans="1:5">
      <c r="A202" s="1" t="s">
        <v>80</v>
      </c>
      <c r="B202" s="2" t="s">
        <v>32</v>
      </c>
      <c r="C202" s="9">
        <f>0.06</f>
        <v>0.06</v>
      </c>
      <c r="D202" s="4"/>
    </row>
    <row r="203" spans="1:5">
      <c r="A203" s="1" t="s">
        <v>81</v>
      </c>
      <c r="B203" s="2" t="s">
        <v>32</v>
      </c>
      <c r="C203" s="9">
        <v>0.02</v>
      </c>
      <c r="D203" s="4"/>
    </row>
    <row r="204" spans="1:5">
      <c r="A204" s="1" t="s">
        <v>257</v>
      </c>
      <c r="B204" s="2" t="s">
        <v>32</v>
      </c>
      <c r="C204" s="9">
        <f>0.602</f>
        <v>0.60199999999999998</v>
      </c>
      <c r="D204" s="4"/>
    </row>
    <row r="205" spans="1:5">
      <c r="A205" s="1" t="s">
        <v>108</v>
      </c>
      <c r="B205" s="2" t="s">
        <v>46</v>
      </c>
      <c r="C205" s="9"/>
      <c r="D205" s="4">
        <v>50</v>
      </c>
    </row>
    <row r="206" spans="1:5">
      <c r="A206" s="1" t="s">
        <v>294</v>
      </c>
      <c r="B206" s="2" t="s">
        <v>46</v>
      </c>
      <c r="C206" s="9">
        <f>5+4+3+1</f>
        <v>13</v>
      </c>
      <c r="D206" s="4"/>
    </row>
    <row r="207" spans="1:5">
      <c r="A207" s="1" t="s">
        <v>198</v>
      </c>
      <c r="B207" s="2" t="s">
        <v>46</v>
      </c>
      <c r="C207" s="9">
        <v>74</v>
      </c>
      <c r="D207" s="4"/>
    </row>
    <row r="208" spans="1:5">
      <c r="A208" s="1" t="s">
        <v>199</v>
      </c>
      <c r="B208" s="2" t="s">
        <v>46</v>
      </c>
      <c r="C208" s="9">
        <v>7</v>
      </c>
      <c r="D208" s="4"/>
    </row>
    <row r="209" spans="1:4">
      <c r="A209" s="1" t="s">
        <v>203</v>
      </c>
      <c r="B209" s="2" t="s">
        <v>46</v>
      </c>
      <c r="C209" s="9">
        <f>16</f>
        <v>16</v>
      </c>
      <c r="D209" s="4"/>
    </row>
    <row r="210" spans="1:4">
      <c r="A210" s="1" t="s">
        <v>204</v>
      </c>
      <c r="B210" s="2" t="s">
        <v>46</v>
      </c>
      <c r="C210" s="9">
        <v>8</v>
      </c>
      <c r="D210" s="4"/>
    </row>
    <row r="211" spans="1:4">
      <c r="A211" s="1" t="s">
        <v>205</v>
      </c>
      <c r="B211" s="2" t="s">
        <v>46</v>
      </c>
      <c r="C211" s="9">
        <f>29+12+10</f>
        <v>51</v>
      </c>
      <c r="D211" s="4">
        <f>49</f>
        <v>49</v>
      </c>
    </row>
    <row r="212" spans="1:4">
      <c r="A212" s="1" t="s">
        <v>119</v>
      </c>
      <c r="B212" s="2" t="s">
        <v>120</v>
      </c>
      <c r="C212" s="9">
        <f>60+21</f>
        <v>81</v>
      </c>
      <c r="D212" s="4">
        <v>516</v>
      </c>
    </row>
    <row r="213" spans="1:4">
      <c r="A213" s="1" t="s">
        <v>206</v>
      </c>
      <c r="B213" s="2" t="s">
        <v>46</v>
      </c>
      <c r="C213" s="9">
        <f>48+168</f>
        <v>216</v>
      </c>
      <c r="D213" s="4"/>
    </row>
    <row r="214" spans="1:4">
      <c r="A214" s="1" t="s">
        <v>207</v>
      </c>
      <c r="B214" s="2" t="s">
        <v>46</v>
      </c>
      <c r="C214" s="9">
        <v>3</v>
      </c>
      <c r="D214" s="4"/>
    </row>
    <row r="215" spans="1:4">
      <c r="A215" s="1" t="s">
        <v>116</v>
      </c>
      <c r="B215" s="2" t="s">
        <v>118</v>
      </c>
      <c r="C215" s="9"/>
      <c r="D215" s="4" t="s">
        <v>117</v>
      </c>
    </row>
    <row r="216" spans="1:4">
      <c r="A216" s="1" t="s">
        <v>202</v>
      </c>
      <c r="B216" s="2" t="s">
        <v>46</v>
      </c>
      <c r="C216" s="9">
        <f>4+4</f>
        <v>8</v>
      </c>
      <c r="D216" s="4"/>
    </row>
    <row r="217" spans="1:4">
      <c r="A217" s="1" t="s">
        <v>113</v>
      </c>
      <c r="B217" s="2" t="s">
        <v>46</v>
      </c>
      <c r="C217" s="9"/>
      <c r="D217" s="4">
        <f>2</f>
        <v>2</v>
      </c>
    </row>
    <row r="218" spans="1:4">
      <c r="A218" s="1" t="s">
        <v>114</v>
      </c>
      <c r="B218" s="2" t="s">
        <v>46</v>
      </c>
      <c r="C218" s="9"/>
      <c r="D218" s="4">
        <f>4</f>
        <v>4</v>
      </c>
    </row>
    <row r="219" spans="1:4">
      <c r="A219" s="1" t="s">
        <v>208</v>
      </c>
      <c r="B219" s="2" t="s">
        <v>32</v>
      </c>
      <c r="C219" s="9">
        <f>0.045+0.054</f>
        <v>9.9000000000000005E-2</v>
      </c>
      <c r="D219" s="4"/>
    </row>
    <row r="220" spans="1:4">
      <c r="A220" s="1" t="s">
        <v>115</v>
      </c>
      <c r="B220" s="2" t="s">
        <v>46</v>
      </c>
      <c r="C220" s="9"/>
      <c r="D220" s="4">
        <f>2+2</f>
        <v>4</v>
      </c>
    </row>
    <row r="221" spans="1:4">
      <c r="A221" s="1" t="s">
        <v>214</v>
      </c>
      <c r="B221" s="2" t="s">
        <v>46</v>
      </c>
      <c r="C221" s="9">
        <f>60+21</f>
        <v>81</v>
      </c>
      <c r="D221" s="4">
        <f>516</f>
        <v>516</v>
      </c>
    </row>
    <row r="222" spans="1:4">
      <c r="A222" s="1" t="s">
        <v>219</v>
      </c>
      <c r="B222" s="2" t="s">
        <v>46</v>
      </c>
      <c r="C222" s="9">
        <f>130+106</f>
        <v>236</v>
      </c>
      <c r="D222" s="4"/>
    </row>
    <row r="223" spans="1:4">
      <c r="A223" s="1" t="s">
        <v>218</v>
      </c>
      <c r="B223" s="2" t="s">
        <v>46</v>
      </c>
      <c r="C223" s="9">
        <f>48+168</f>
        <v>216</v>
      </c>
      <c r="D223" s="4"/>
    </row>
    <row r="224" spans="1:4">
      <c r="A224" s="1" t="s">
        <v>221</v>
      </c>
      <c r="B224" s="2" t="s">
        <v>46</v>
      </c>
      <c r="C224" s="9">
        <v>3</v>
      </c>
      <c r="D224" s="4"/>
    </row>
    <row r="225" spans="1:4">
      <c r="A225" s="1" t="s">
        <v>222</v>
      </c>
      <c r="B225" s="2" t="s">
        <v>46</v>
      </c>
      <c r="C225" s="9">
        <f>168+100</f>
        <v>268</v>
      </c>
      <c r="D225" s="4"/>
    </row>
    <row r="226" spans="1:4">
      <c r="A226" s="1" t="s">
        <v>220</v>
      </c>
      <c r="B226" s="2" t="s">
        <v>46</v>
      </c>
      <c r="C226" s="9">
        <f>40+40</f>
        <v>80</v>
      </c>
      <c r="D226" s="4"/>
    </row>
    <row r="227" spans="1:4">
      <c r="A227" s="1" t="s">
        <v>215</v>
      </c>
      <c r="B227" s="2" t="s">
        <v>46</v>
      </c>
      <c r="C227" s="9">
        <v>8</v>
      </c>
      <c r="D227" s="4"/>
    </row>
    <row r="228" spans="1:4">
      <c r="A228" s="1" t="s">
        <v>216</v>
      </c>
      <c r="B228" s="2" t="s">
        <v>46</v>
      </c>
      <c r="C228" s="9">
        <v>16</v>
      </c>
      <c r="D228" s="4"/>
    </row>
    <row r="229" spans="1:4">
      <c r="A229" s="1" t="s">
        <v>217</v>
      </c>
      <c r="B229" s="2" t="s">
        <v>46</v>
      </c>
      <c r="C229" s="9">
        <v>3</v>
      </c>
      <c r="D229" s="4"/>
    </row>
    <row r="230" spans="1:4">
      <c r="A230" s="1" t="s">
        <v>87</v>
      </c>
      <c r="B230" s="2" t="s">
        <v>118</v>
      </c>
      <c r="C230" s="9"/>
      <c r="D230" s="4" t="s">
        <v>122</v>
      </c>
    </row>
    <row r="231" spans="1:4">
      <c r="A231" s="1" t="s">
        <v>86</v>
      </c>
      <c r="B231" s="2" t="s">
        <v>32</v>
      </c>
      <c r="C231" s="9">
        <f>0.002+0.002</f>
        <v>4.0000000000000001E-3</v>
      </c>
      <c r="D231" s="4"/>
    </row>
    <row r="232" spans="1:4">
      <c r="A232" s="1" t="s">
        <v>86</v>
      </c>
      <c r="B232" s="2" t="s">
        <v>120</v>
      </c>
      <c r="C232" s="9">
        <v>8</v>
      </c>
      <c r="D232" s="4"/>
    </row>
    <row r="233" spans="1:4">
      <c r="A233" s="1" t="s">
        <v>88</v>
      </c>
      <c r="B233" s="2" t="s">
        <v>46</v>
      </c>
      <c r="C233" s="9"/>
      <c r="D233" s="4">
        <v>1000</v>
      </c>
    </row>
    <row r="234" spans="1:4">
      <c r="A234" s="1" t="s">
        <v>297</v>
      </c>
      <c r="B234" s="2" t="s">
        <v>46</v>
      </c>
      <c r="C234" s="9">
        <f>3</f>
        <v>3</v>
      </c>
      <c r="D234" s="4"/>
    </row>
    <row r="235" spans="1:4">
      <c r="A235" s="1" t="s">
        <v>298</v>
      </c>
      <c r="B235" s="2" t="s">
        <v>46</v>
      </c>
      <c r="C235" s="9">
        <f>168+100</f>
        <v>268</v>
      </c>
      <c r="D235" s="4"/>
    </row>
    <row r="236" spans="1:4">
      <c r="A236" s="1" t="s">
        <v>295</v>
      </c>
      <c r="B236" s="2" t="s">
        <v>46</v>
      </c>
      <c r="C236" s="9">
        <f>40+40</f>
        <v>80</v>
      </c>
      <c r="D236" s="4"/>
    </row>
    <row r="237" spans="1:4">
      <c r="A237" s="1" t="s">
        <v>196</v>
      </c>
      <c r="B237" s="2" t="s">
        <v>46</v>
      </c>
      <c r="C237" s="9">
        <f>60+21</f>
        <v>81</v>
      </c>
      <c r="D237" s="4">
        <v>516</v>
      </c>
    </row>
    <row r="238" spans="1:4">
      <c r="A238" s="1" t="s">
        <v>296</v>
      </c>
      <c r="B238" s="2" t="s">
        <v>46</v>
      </c>
      <c r="C238" s="9">
        <f>3</f>
        <v>3</v>
      </c>
      <c r="D238" s="4"/>
    </row>
    <row r="239" spans="1:4">
      <c r="A239" s="1" t="s">
        <v>300</v>
      </c>
      <c r="B239" s="2" t="s">
        <v>46</v>
      </c>
      <c r="C239" s="9">
        <f>3</f>
        <v>3</v>
      </c>
      <c r="D239" s="4"/>
    </row>
    <row r="240" spans="1:4">
      <c r="A240" s="1" t="s">
        <v>301</v>
      </c>
      <c r="B240" s="2" t="s">
        <v>46</v>
      </c>
      <c r="C240" s="9">
        <f>168+100</f>
        <v>268</v>
      </c>
      <c r="D240" s="4"/>
    </row>
    <row r="241" spans="1:4">
      <c r="A241" s="1" t="s">
        <v>299</v>
      </c>
      <c r="B241" s="2" t="s">
        <v>46</v>
      </c>
      <c r="C241" s="9">
        <f>40+40</f>
        <v>80</v>
      </c>
      <c r="D241" s="4"/>
    </row>
    <row r="242" spans="1:4">
      <c r="A242" s="1" t="s">
        <v>302</v>
      </c>
      <c r="B242" s="2" t="s">
        <v>46</v>
      </c>
      <c r="C242" s="9">
        <f>16</f>
        <v>16</v>
      </c>
      <c r="D242" s="4"/>
    </row>
    <row r="243" spans="1:4">
      <c r="A243" s="1" t="s">
        <v>303</v>
      </c>
      <c r="B243" s="2" t="s">
        <v>46</v>
      </c>
      <c r="C243" s="9">
        <f>8</f>
        <v>8</v>
      </c>
      <c r="D243" s="4"/>
    </row>
    <row r="244" spans="1:4">
      <c r="A244" s="1" t="s">
        <v>195</v>
      </c>
      <c r="B244" s="2" t="s">
        <v>46</v>
      </c>
      <c r="C244" s="9"/>
      <c r="D244" s="4">
        <v>8</v>
      </c>
    </row>
    <row r="245" spans="1:4">
      <c r="A245" s="1" t="s">
        <v>304</v>
      </c>
      <c r="B245" s="2" t="s">
        <v>46</v>
      </c>
      <c r="C245" s="9">
        <v>12</v>
      </c>
      <c r="D245" s="4"/>
    </row>
    <row r="246" spans="1:4">
      <c r="A246" s="1" t="s">
        <v>305</v>
      </c>
      <c r="B246" s="2" t="s">
        <v>46</v>
      </c>
      <c r="C246" s="9">
        <f>104</f>
        <v>104</v>
      </c>
      <c r="D246" s="4"/>
    </row>
    <row r="247" spans="1:4">
      <c r="A247" s="1" t="s">
        <v>245</v>
      </c>
      <c r="B247" s="2" t="s">
        <v>46</v>
      </c>
      <c r="C247" s="9">
        <v>6</v>
      </c>
      <c r="D247" s="4"/>
    </row>
    <row r="248" spans="1:4">
      <c r="A248" s="1" t="s">
        <v>246</v>
      </c>
      <c r="B248" s="2" t="s">
        <v>46</v>
      </c>
      <c r="C248" s="9">
        <v>3</v>
      </c>
      <c r="D248" s="4"/>
    </row>
    <row r="249" spans="1:4">
      <c r="A249" s="1" t="s">
        <v>138</v>
      </c>
      <c r="B249" s="2" t="s">
        <v>46</v>
      </c>
      <c r="C249" s="9"/>
      <c r="D249" s="4">
        <v>15</v>
      </c>
    </row>
    <row r="250" spans="1:4">
      <c r="A250" s="1" t="s">
        <v>251</v>
      </c>
      <c r="B250" s="2" t="s">
        <v>46</v>
      </c>
      <c r="C250" s="9">
        <v>5</v>
      </c>
      <c r="D250" s="4"/>
    </row>
    <row r="251" spans="1:4">
      <c r="A251" s="1" t="s">
        <v>139</v>
      </c>
      <c r="B251" s="2" t="s">
        <v>46</v>
      </c>
      <c r="C251" s="9"/>
      <c r="D251" s="4">
        <v>20</v>
      </c>
    </row>
    <row r="252" spans="1:4">
      <c r="A252" s="1" t="s">
        <v>252</v>
      </c>
      <c r="B252" s="2" t="s">
        <v>46</v>
      </c>
      <c r="C252" s="9">
        <v>10</v>
      </c>
      <c r="D252" s="4"/>
    </row>
    <row r="253" spans="1:4">
      <c r="A253" s="1" t="s">
        <v>140</v>
      </c>
      <c r="B253" s="2" t="s">
        <v>46</v>
      </c>
      <c r="C253" s="9"/>
      <c r="D253" s="4">
        <v>2</v>
      </c>
    </row>
    <row r="254" spans="1:4">
      <c r="A254" s="1" t="s">
        <v>253</v>
      </c>
      <c r="B254" s="2" t="s">
        <v>46</v>
      </c>
      <c r="C254" s="9">
        <v>3</v>
      </c>
      <c r="D254" s="4"/>
    </row>
    <row r="255" spans="1:4">
      <c r="A255" s="1" t="s">
        <v>121</v>
      </c>
      <c r="B255" s="2" t="s">
        <v>40</v>
      </c>
      <c r="C255" s="9">
        <f>3+0.5+0.5+2+0.5+0.5+0.5+0.5</f>
        <v>8</v>
      </c>
      <c r="D255" s="4">
        <v>110.5</v>
      </c>
    </row>
    <row r="256" spans="1:4">
      <c r="A256" s="1" t="s">
        <v>209</v>
      </c>
      <c r="B256" s="2" t="s">
        <v>46</v>
      </c>
      <c r="C256" s="9">
        <f>40+30</f>
        <v>70</v>
      </c>
      <c r="D256" s="4"/>
    </row>
    <row r="257" spans="1:4">
      <c r="A257" s="1" t="s">
        <v>212</v>
      </c>
      <c r="B257" s="2" t="s">
        <v>46</v>
      </c>
      <c r="C257" s="9">
        <f>3</f>
        <v>3</v>
      </c>
      <c r="D257" s="4"/>
    </row>
    <row r="258" spans="1:4">
      <c r="A258" s="1" t="s">
        <v>210</v>
      </c>
      <c r="B258" s="2" t="s">
        <v>46</v>
      </c>
      <c r="C258" s="9">
        <f>66+100</f>
        <v>166</v>
      </c>
      <c r="D258" s="4"/>
    </row>
    <row r="259" spans="1:4">
      <c r="A259" s="1" t="s">
        <v>213</v>
      </c>
      <c r="B259" s="2" t="s">
        <v>46</v>
      </c>
      <c r="C259" s="9">
        <f>168+100</f>
        <v>268</v>
      </c>
      <c r="D259" s="4"/>
    </row>
    <row r="260" spans="1:4">
      <c r="A260" s="1" t="s">
        <v>211</v>
      </c>
      <c r="B260" s="2" t="s">
        <v>46</v>
      </c>
      <c r="C260" s="9">
        <f>40+40</f>
        <v>80</v>
      </c>
      <c r="D260" s="4"/>
    </row>
    <row r="261" spans="1:4">
      <c r="A261" s="1" t="s">
        <v>200</v>
      </c>
      <c r="B261" s="2" t="s">
        <v>46</v>
      </c>
      <c r="C261" s="9">
        <f>17+9</f>
        <v>26</v>
      </c>
      <c r="D261" s="4"/>
    </row>
    <row r="262" spans="1:4">
      <c r="A262" s="1" t="s">
        <v>201</v>
      </c>
      <c r="B262" s="2" t="s">
        <v>46</v>
      </c>
      <c r="C262" s="9">
        <f>17+9</f>
        <v>26</v>
      </c>
      <c r="D262" s="4"/>
    </row>
    <row r="263" spans="1:4">
      <c r="A263" s="1" t="s">
        <v>224</v>
      </c>
      <c r="B263" s="2" t="s">
        <v>46</v>
      </c>
      <c r="C263" s="9">
        <v>4</v>
      </c>
      <c r="D263" s="4"/>
    </row>
    <row r="264" spans="1:4">
      <c r="A264" s="1" t="s">
        <v>143</v>
      </c>
      <c r="B264" s="2" t="s">
        <v>46</v>
      </c>
      <c r="C264" s="9"/>
      <c r="D264" s="4">
        <v>2</v>
      </c>
    </row>
    <row r="265" spans="1:4">
      <c r="A265" s="1" t="s">
        <v>141</v>
      </c>
      <c r="B265" s="2" t="s">
        <v>46</v>
      </c>
      <c r="C265" s="9"/>
      <c r="D265" s="4">
        <v>3</v>
      </c>
    </row>
    <row r="266" spans="1:4">
      <c r="A266" s="1" t="s">
        <v>142</v>
      </c>
      <c r="B266" s="2" t="s">
        <v>46</v>
      </c>
      <c r="C266" s="9"/>
      <c r="D266" s="4">
        <v>11</v>
      </c>
    </row>
    <row r="267" spans="1:4">
      <c r="A267" s="1" t="s">
        <v>137</v>
      </c>
      <c r="B267" s="2" t="s">
        <v>46</v>
      </c>
      <c r="C267" s="9"/>
      <c r="D267" s="4">
        <f>24</f>
        <v>24</v>
      </c>
    </row>
    <row r="268" spans="1:4">
      <c r="A268" s="1" t="s">
        <v>247</v>
      </c>
      <c r="B268" s="2" t="s">
        <v>46</v>
      </c>
      <c r="C268" s="9">
        <v>5</v>
      </c>
      <c r="D268" s="4"/>
    </row>
    <row r="269" spans="1:4">
      <c r="A269" s="1" t="s">
        <v>248</v>
      </c>
      <c r="B269" s="2" t="s">
        <v>46</v>
      </c>
      <c r="C269" s="9">
        <v>10</v>
      </c>
      <c r="D269" s="4"/>
    </row>
    <row r="270" spans="1:4">
      <c r="A270" s="1" t="s">
        <v>249</v>
      </c>
      <c r="B270" s="2" t="s">
        <v>46</v>
      </c>
      <c r="C270" s="9">
        <v>3</v>
      </c>
      <c r="D270" s="4"/>
    </row>
    <row r="271" spans="1:4">
      <c r="A271" s="1" t="s">
        <v>190</v>
      </c>
      <c r="B271" s="2" t="s">
        <v>46</v>
      </c>
      <c r="C271" s="9"/>
      <c r="D271" s="4">
        <v>64</v>
      </c>
    </row>
    <row r="272" spans="1:4">
      <c r="A272" s="1" t="s">
        <v>191</v>
      </c>
      <c r="B272" s="2" t="s">
        <v>46</v>
      </c>
      <c r="C272" s="9"/>
      <c r="D272" s="4">
        <v>11</v>
      </c>
    </row>
    <row r="273" spans="1:4">
      <c r="A273" s="1" t="s">
        <v>192</v>
      </c>
      <c r="B273" s="2" t="s">
        <v>46</v>
      </c>
      <c r="C273" s="9">
        <f>12+14+10</f>
        <v>36</v>
      </c>
      <c r="D273" s="4">
        <f>40+112</f>
        <v>152</v>
      </c>
    </row>
    <row r="274" spans="1:4">
      <c r="A274" s="1" t="s">
        <v>193</v>
      </c>
      <c r="B274" s="2" t="s">
        <v>46</v>
      </c>
      <c r="C274" s="9">
        <f>29+1</f>
        <v>30</v>
      </c>
      <c r="D274" s="4">
        <v>283</v>
      </c>
    </row>
    <row r="275" spans="1:4">
      <c r="A275" s="1" t="s">
        <v>146</v>
      </c>
      <c r="B275" s="2" t="s">
        <v>46</v>
      </c>
      <c r="C275" s="9">
        <f>6+8</f>
        <v>14</v>
      </c>
      <c r="D275" s="4">
        <f>28+41</f>
        <v>69</v>
      </c>
    </row>
    <row r="276" spans="1:4">
      <c r="A276" s="1" t="s">
        <v>147</v>
      </c>
      <c r="B276" s="2" t="s">
        <v>46</v>
      </c>
      <c r="C276" s="9">
        <f>24</f>
        <v>24</v>
      </c>
      <c r="D276" s="4">
        <f>60</f>
        <v>60</v>
      </c>
    </row>
    <row r="277" spans="1:4">
      <c r="A277" s="1" t="s">
        <v>148</v>
      </c>
      <c r="B277" s="2" t="s">
        <v>46</v>
      </c>
      <c r="C277" s="9">
        <f>52+20+24</f>
        <v>96</v>
      </c>
      <c r="D277" s="4">
        <f>530</f>
        <v>530</v>
      </c>
    </row>
    <row r="278" spans="1:4">
      <c r="A278" s="1" t="s">
        <v>174</v>
      </c>
      <c r="B278" s="2" t="s">
        <v>46</v>
      </c>
      <c r="C278" s="9"/>
      <c r="D278" s="4">
        <v>12</v>
      </c>
    </row>
    <row r="279" spans="1:4">
      <c r="A279" s="1" t="s">
        <v>175</v>
      </c>
      <c r="B279" s="2" t="s">
        <v>46</v>
      </c>
      <c r="C279" s="9"/>
      <c r="D279" s="4">
        <v>8</v>
      </c>
    </row>
    <row r="280" spans="1:4">
      <c r="A280" s="1" t="s">
        <v>178</v>
      </c>
      <c r="B280" s="2" t="s">
        <v>46</v>
      </c>
      <c r="C280" s="9"/>
      <c r="D280" s="4">
        <v>6</v>
      </c>
    </row>
    <row r="281" spans="1:4">
      <c r="A281" s="1" t="s">
        <v>179</v>
      </c>
      <c r="B281" s="2" t="s">
        <v>46</v>
      </c>
      <c r="C281" s="9"/>
      <c r="D281" s="4">
        <v>48</v>
      </c>
    </row>
    <row r="282" spans="1:4">
      <c r="A282" s="1" t="s">
        <v>180</v>
      </c>
      <c r="B282" s="2" t="s">
        <v>46</v>
      </c>
      <c r="C282" s="9"/>
      <c r="D282" s="4">
        <v>4</v>
      </c>
    </row>
    <row r="283" spans="1:4">
      <c r="A283" s="1" t="s">
        <v>285</v>
      </c>
      <c r="B283" s="2" t="s">
        <v>46</v>
      </c>
      <c r="C283" s="9">
        <f>10+20</f>
        <v>30</v>
      </c>
      <c r="D283" s="4"/>
    </row>
    <row r="284" spans="1:4">
      <c r="A284" s="1" t="s">
        <v>223</v>
      </c>
      <c r="B284" s="2" t="s">
        <v>46</v>
      </c>
      <c r="C284" s="9">
        <f>30+30+5+5</f>
        <v>70</v>
      </c>
      <c r="D284" s="4"/>
    </row>
    <row r="285" spans="1:4">
      <c r="A285" s="1" t="s">
        <v>103</v>
      </c>
      <c r="B285" s="2" t="s">
        <v>46</v>
      </c>
      <c r="C285" s="9"/>
      <c r="D285" s="4">
        <f>320</f>
        <v>320</v>
      </c>
    </row>
    <row r="286" spans="1:4">
      <c r="A286" s="1" t="s">
        <v>254</v>
      </c>
      <c r="B286" s="2" t="s">
        <v>46</v>
      </c>
      <c r="C286" s="9">
        <f>30</f>
        <v>30</v>
      </c>
      <c r="D286" s="4"/>
    </row>
    <row r="287" spans="1:4">
      <c r="A287" s="1" t="s">
        <v>105</v>
      </c>
      <c r="B287" s="2" t="s">
        <v>46</v>
      </c>
      <c r="C287" s="9"/>
      <c r="D287" s="4">
        <f>12</f>
        <v>12</v>
      </c>
    </row>
    <row r="288" spans="1:4">
      <c r="A288" s="1" t="s">
        <v>106</v>
      </c>
      <c r="B288" s="2" t="s">
        <v>46</v>
      </c>
      <c r="C288" s="9"/>
      <c r="D288" s="4">
        <v>42</v>
      </c>
    </row>
    <row r="289" spans="1:4">
      <c r="A289" s="1" t="s">
        <v>107</v>
      </c>
      <c r="B289" s="2" t="s">
        <v>46</v>
      </c>
      <c r="C289" s="9"/>
      <c r="D289" s="4">
        <v>37</v>
      </c>
    </row>
    <row r="290" spans="1:4">
      <c r="A290" s="1" t="s">
        <v>104</v>
      </c>
      <c r="B290" s="2" t="s">
        <v>46</v>
      </c>
      <c r="C290" s="9"/>
      <c r="D290" s="4">
        <f>2</f>
        <v>2</v>
      </c>
    </row>
    <row r="291" spans="1:4">
      <c r="A291" s="1" t="s">
        <v>112</v>
      </c>
      <c r="B291" s="2" t="s">
        <v>46</v>
      </c>
      <c r="C291" s="9"/>
      <c r="D291" s="4">
        <f>8</f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Тобольск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2018-05-22T03:49:44Z</dcterms:modified>
</cp:coreProperties>
</file>