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20" windowWidth="20490" windowHeight="7545"/>
  </bookViews>
  <sheets>
    <sheet name="сводна 3456тех в кг бумаж" sheetId="15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15" l="1"/>
  <c r="F48" i="15"/>
  <c r="F47" i="15"/>
  <c r="F45" i="15"/>
  <c r="F44" i="15"/>
  <c r="F43" i="15"/>
  <c r="F42" i="15"/>
  <c r="F41" i="15"/>
  <c r="F40" i="15"/>
  <c r="F39" i="15"/>
  <c r="F38" i="15"/>
  <c r="F36" i="15"/>
  <c r="F35" i="15"/>
  <c r="F34" i="15"/>
  <c r="F33" i="15"/>
  <c r="F32" i="15"/>
  <c r="F31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14" i="15"/>
  <c r="F6" i="15"/>
  <c r="F7" i="15"/>
  <c r="F8" i="15"/>
  <c r="F9" i="15"/>
  <c r="F10" i="15"/>
  <c r="F11" i="15"/>
  <c r="F12" i="15"/>
  <c r="F5" i="15"/>
  <c r="D44" i="15"/>
  <c r="D45" i="15" s="1"/>
  <c r="D42" i="15"/>
  <c r="D36" i="15"/>
  <c r="D31" i="15"/>
  <c r="D32" i="15" s="1"/>
  <c r="D30" i="15"/>
  <c r="D12" i="15"/>
  <c r="D11" i="15"/>
  <c r="D10" i="15"/>
  <c r="D9" i="15"/>
  <c r="D8" i="15"/>
  <c r="A7" i="15"/>
  <c r="A8" i="15" s="1"/>
  <c r="A9" i="15" s="1"/>
  <c r="A10" i="15" s="1"/>
  <c r="A11" i="15" s="1"/>
  <c r="A12" i="15" s="1"/>
  <c r="A31" i="15" s="1"/>
  <c r="A33" i="15" s="1"/>
  <c r="A35" i="15" s="1"/>
  <c r="A38" i="15" s="1"/>
  <c r="A40" i="15" s="1"/>
  <c r="A42" i="15" s="1"/>
  <c r="A44" i="15" s="1"/>
  <c r="A45" i="15" s="1"/>
  <c r="A46" i="15" s="1"/>
  <c r="A47" i="15" s="1"/>
  <c r="A6" i="15"/>
  <c r="F50" i="15" l="1"/>
  <c r="F49" i="15"/>
  <c r="D33" i="15"/>
  <c r="F51" i="15" l="1"/>
  <c r="D34" i="15"/>
  <c r="D64" i="15" s="1"/>
  <c r="D66" i="15" s="1"/>
  <c r="H46" i="15" l="1"/>
  <c r="I47" i="15" l="1"/>
  <c r="I46" i="15"/>
  <c r="H50" i="15" l="1"/>
  <c r="F52" i="15" l="1"/>
  <c r="F53" i="15"/>
</calcChain>
</file>

<file path=xl/sharedStrings.xml><?xml version="1.0" encoding="utf-8"?>
<sst xmlns="http://schemas.openxmlformats.org/spreadsheetml/2006/main" count="99" uniqueCount="66">
  <si>
    <t>шт</t>
  </si>
  <si>
    <t>м2</t>
  </si>
  <si>
    <t>м3</t>
  </si>
  <si>
    <t>ед.изм.</t>
  </si>
  <si>
    <t>наименование</t>
  </si>
  <si>
    <t>№ пп</t>
  </si>
  <si>
    <t>кол-во</t>
  </si>
  <si>
    <t>цена за ед. с ндс, руб</t>
  </si>
  <si>
    <t>стоимость с ндс, руб</t>
  </si>
  <si>
    <t>т</t>
  </si>
  <si>
    <t>меш</t>
  </si>
  <si>
    <t>кг</t>
  </si>
  <si>
    <t>м</t>
  </si>
  <si>
    <t>ВСЕГО с НДС 18%</t>
  </si>
  <si>
    <t>в т.ч.НДС 18%</t>
  </si>
  <si>
    <t>Итого с НДС 18%</t>
  </si>
  <si>
    <t>Электроды Э42</t>
  </si>
  <si>
    <t>ед</t>
  </si>
  <si>
    <t>Антикоррозионная обработка металлических конструкций</t>
  </si>
  <si>
    <t>ГФ021</t>
  </si>
  <si>
    <t>Сухая смесь Бирсс 59</t>
  </si>
  <si>
    <t>Заполнение пустот в плитах перекрытия после монтажа шпилек и пр. крепежных элементов</t>
  </si>
  <si>
    <t>Швеллер 10П (кратно 12м) (1мп = 8,59кг)</t>
  </si>
  <si>
    <t>Швеллер 16П (кратно 12м) (1мп = 14,2кг)</t>
  </si>
  <si>
    <t>Швеллер 20П (кратно 12м) (1мп = 18,4кг)</t>
  </si>
  <si>
    <t>Двутавр 12Б1 (кратно 12м) (1мп = 8.658кг)</t>
  </si>
  <si>
    <t>Двутавр 18Б1 (кратно 12м) (1мп = 15,31кг)</t>
  </si>
  <si>
    <t>Двутавр 20Ш1(кратно 12м) (1мп = 30,58кг)</t>
  </si>
  <si>
    <t>Сверление отверстий перед монтажом шпилек д.20</t>
  </si>
  <si>
    <t>Пробивка проемов в ж/б пустотных плитах перекрытия</t>
  </si>
  <si>
    <t>Пробивка проема д. 0,4м в в ж/б пустотной плите перекрытия</t>
  </si>
  <si>
    <t>Сверление отверстий в плитах перекрытия д.130</t>
  </si>
  <si>
    <t>Сверление отверстий в плитах перекрытия д.150</t>
  </si>
  <si>
    <t>Шпилька М20 - 6g х 500.88.35.х</t>
  </si>
  <si>
    <t>Шпилька М20 - 6g х 300.88.35.х</t>
  </si>
  <si>
    <t>3, 4, 5, 6, тех. этажи</t>
  </si>
  <si>
    <t>Стоимость контейнера</t>
  </si>
  <si>
    <t>Разводка электрики на время производства работ</t>
  </si>
  <si>
    <t>Лампочки, провод и пр.</t>
  </si>
  <si>
    <t>Мобилизация (организация строительной площадки, рабочего места, обустройство бытовых условий)</t>
  </si>
  <si>
    <t>Вспомогательный материал (доска, брус, гвозди, саморезы, пленка и т.д.), строительный инвентарь и приспособления, аренда, обслуживание туалетов, бытовых помещений</t>
  </si>
  <si>
    <t>Итого стоимость работ</t>
  </si>
  <si>
    <t>Итого стоимость материалов, механизмов</t>
  </si>
  <si>
    <t>II. Общие работы, материалы, механизмы на весь объем строительства</t>
  </si>
  <si>
    <t>Локальная смета на комплекс работ по усилению металлоконструкциями плит перекрытия 3го, 4го, 5го, 6го, тех. этажей, проемов стен тех.этажа, огнезащитная обработка всех смонтированных металлоконструкций административного здания по адресу: г.Москва, Зубовский бульвар, д.17, стр.1</t>
  </si>
  <si>
    <t>Металлические элементы на  3, 4, 5, 6, тех эт.:</t>
  </si>
  <si>
    <t>Швеллер 24П (кратно 12м) (1мп = 24кг)</t>
  </si>
  <si>
    <t>Лист г/к  т.8мм кратно 1му листу 1,5м*3м (1м2 = 62,8кг)</t>
  </si>
  <si>
    <t>Лист г/к  т.6мм кратно 1му листу 1,5м*3м (1м2 = 47,1кг)</t>
  </si>
  <si>
    <t>Лист г/к  т.16мм кратно 1му листу 1,5м*3м (1м2 = 125,6кг)</t>
  </si>
  <si>
    <t>Лист г/к  т.10мм кратно 1му листу 1,5м*3м (1м2 = 78,5кг)</t>
  </si>
  <si>
    <t>Изготовление конструкций усиления, балок (из  швеллеров, двутавров): подготовка металлических балок,  связей  перед установкой в проектное положение, разгрузка, раскрой, резка</t>
  </si>
  <si>
    <t xml:space="preserve">Изготовление крепежных элементов, закладных деталей (из  уголков, листов, арматуры, шпилек) </t>
  </si>
  <si>
    <t>Монтаж (разгрузка, сборка, стыковка, крепление) металлических  труб, балок, закладных деталей   в проектное положение</t>
  </si>
  <si>
    <t>Устройство лесов, подмостей, тур для производства работ</t>
  </si>
  <si>
    <t>Пиломатериалы, гвозди, уголок, аренда, амортизация тур, лесов и пр.</t>
  </si>
  <si>
    <t>Погрузка мусора в контейнер 20м3</t>
  </si>
  <si>
    <t>Уголок стальной равнополочный 100*100*10 (кратно 12м) (1мп= 15,1кг)</t>
  </si>
  <si>
    <t>Уголок стальной равнополочный 50*50*4 (кратно 12м)(1мп= 3,054кг)</t>
  </si>
  <si>
    <t>Расходный материал (наждачная бумага,  растворитель, пена, изолента, герметик, патроны, фиксаторы, сверла, дюбеля,  заглушки), расходы на отходы и обрезки металлоконструкций,  на трудноустранимые отходы при монтаже металлоконструкций, электроинструмент, строительный инвентарь и приспособления</t>
  </si>
  <si>
    <t>комплекс</t>
  </si>
  <si>
    <t xml:space="preserve">Транспортные расходы </t>
  </si>
  <si>
    <t>Швеллер 14П (кратно 12м) (1мп = 12,3кг)</t>
  </si>
  <si>
    <t>Огнезащитный состав ВУП-2   ООО НПП ТЕПЛОХИМ</t>
  </si>
  <si>
    <t>Огнезащитная обработка металлических конструкций до достижения предела огнестойкости R60, толщ.сухого слоя 1,3мм</t>
  </si>
  <si>
    <t>Разгрузка материалов и доставка к рабочему месту, монтаж люлек или услуги альпинистов, противопожарные завесы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</si>
</sst>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#,##0.0"/>
  </numFmts>
  <fonts count="14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9" xfId="0" applyNumberFormat="1" applyFont="1" applyFill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4" fontId="6" fillId="0" borderId="15" xfId="0" applyNumberFormat="1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164" fontId="12" fillId="0" borderId="10" xfId="0" applyNumberFormat="1" applyFont="1" applyBorder="1" applyAlignment="1" applyProtection="1">
      <alignment horizontal="center" vertical="center" wrapText="1"/>
    </xf>
    <xf numFmtId="4" fontId="6" fillId="0" borderId="10" xfId="0" applyNumberFormat="1" applyFont="1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horizontal="center" vertical="center" wrapText="1"/>
    </xf>
    <xf numFmtId="164" fontId="6" fillId="0" borderId="16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</xf>
    <xf numFmtId="4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6" fillId="0" borderId="17" xfId="0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0" fontId="6" fillId="3" borderId="1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6" fillId="3" borderId="16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 wrapText="1"/>
    </xf>
    <xf numFmtId="4" fontId="12" fillId="0" borderId="1" xfId="0" applyNumberFormat="1" applyFont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4" fontId="10" fillId="0" borderId="0" xfId="0" applyNumberFormat="1" applyFont="1" applyFill="1" applyBorder="1" applyAlignment="1" applyProtection="1">
      <alignment horizontal="center" vertical="center"/>
    </xf>
    <xf numFmtId="4" fontId="10" fillId="0" borderId="17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horizontal="center" vertical="center"/>
    </xf>
    <xf numFmtId="4" fontId="5" fillId="3" borderId="9" xfId="0" applyNumberFormat="1" applyFont="1" applyFill="1" applyBorder="1" applyAlignment="1" applyProtection="1">
      <alignment horizontal="center" vertical="center"/>
    </xf>
    <xf numFmtId="4" fontId="10" fillId="3" borderId="0" xfId="0" applyNumberFormat="1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4" fontId="4" fillId="0" borderId="11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2" fontId="5" fillId="0" borderId="10" xfId="0" applyNumberFormat="1" applyFont="1" applyBorder="1" applyAlignment="1" applyProtection="1">
      <alignment horizontal="center" vertical="center" wrapText="1"/>
    </xf>
    <xf numFmtId="4" fontId="5" fillId="0" borderId="10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2" fontId="5" fillId="0" borderId="11" xfId="0" applyNumberFormat="1" applyFont="1" applyBorder="1" applyAlignment="1" applyProtection="1">
      <alignment horizontal="center" vertical="center" wrapText="1"/>
    </xf>
    <xf numFmtId="4" fontId="5" fillId="0" borderId="11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Fill="1" applyBorder="1" applyProtection="1"/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Protection="1"/>
    <xf numFmtId="0" fontId="7" fillId="0" borderId="10" xfId="0" applyFont="1" applyBorder="1" applyAlignment="1" applyProtection="1">
      <alignment horizontal="center" vertical="center" wrapText="1"/>
    </xf>
    <xf numFmtId="164" fontId="13" fillId="0" borderId="10" xfId="0" applyNumberFormat="1" applyFont="1" applyBorder="1" applyAlignment="1" applyProtection="1">
      <alignment horizontal="center" vertical="center" wrapText="1"/>
    </xf>
    <xf numFmtId="4" fontId="7" fillId="0" borderId="10" xfId="0" applyNumberFormat="1" applyFont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Protection="1"/>
    <xf numFmtId="0" fontId="6" fillId="0" borderId="6" xfId="0" applyFont="1" applyBorder="1" applyAlignment="1" applyProtection="1">
      <alignment horizontal="center" vertical="center" wrapText="1"/>
    </xf>
    <xf numFmtId="0" fontId="7" fillId="0" borderId="11" xfId="0" applyFont="1" applyBorder="1" applyProtection="1"/>
    <xf numFmtId="0" fontId="6" fillId="0" borderId="11" xfId="0" applyFont="1" applyBorder="1" applyAlignment="1" applyProtection="1">
      <alignment horizontal="center" vertical="center" wrapText="1"/>
    </xf>
    <xf numFmtId="164" fontId="12" fillId="0" borderId="11" xfId="0" applyNumberFormat="1" applyFont="1" applyBorder="1" applyAlignment="1" applyProtection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164" fontId="12" fillId="0" borderId="0" xfId="0" applyNumberFormat="1" applyFont="1" applyAlignment="1" applyProtection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right" vertical="center" wrapText="1"/>
    </xf>
    <xf numFmtId="0" fontId="4" fillId="0" borderId="11" xfId="0" applyFont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</cellXfs>
  <cellStyles count="2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Обычный" xfId="0" builtinId="0"/>
    <cellStyle name="Обычный 20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66"/>
  <sheetViews>
    <sheetView tabSelected="1" zoomScale="70" zoomScaleNormal="70" workbookViewId="0">
      <selection activeCell="L7" sqref="L7"/>
    </sheetView>
  </sheetViews>
  <sheetFormatPr defaultColWidth="8.75" defaultRowHeight="15" x14ac:dyDescent="0.25"/>
  <cols>
    <col min="1" max="1" width="4.5" style="8" customWidth="1"/>
    <col min="2" max="2" width="37.625" style="11" customWidth="1"/>
    <col min="3" max="3" width="9.875" style="8" customWidth="1"/>
    <col min="4" max="4" width="10.375" style="110" customWidth="1"/>
    <col min="5" max="5" width="12.875" style="111" customWidth="1"/>
    <col min="6" max="6" width="12.25" style="111" customWidth="1"/>
    <col min="7" max="7" width="11.375" style="8" hidden="1" customWidth="1"/>
    <col min="8" max="8" width="11.75" style="9" hidden="1" customWidth="1"/>
    <col min="9" max="9" width="8.75" style="10" hidden="1" customWidth="1"/>
    <col min="10" max="16384" width="8.75" style="9"/>
  </cols>
  <sheetData>
    <row r="1" spans="1:9" ht="69" customHeight="1" x14ac:dyDescent="0.25">
      <c r="A1" s="120" t="s">
        <v>44</v>
      </c>
      <c r="B1" s="120"/>
      <c r="C1" s="120"/>
      <c r="D1" s="120"/>
      <c r="E1" s="120"/>
      <c r="F1" s="120"/>
    </row>
    <row r="2" spans="1:9" ht="18" customHeight="1" thickBot="1" x14ac:dyDescent="0.3">
      <c r="D2" s="12"/>
      <c r="E2" s="12"/>
      <c r="F2" s="12"/>
      <c r="G2" s="121"/>
      <c r="H2" s="121"/>
      <c r="I2" s="121"/>
    </row>
    <row r="3" spans="1:9" s="10" customFormat="1" ht="30" x14ac:dyDescent="0.2">
      <c r="A3" s="13" t="s">
        <v>5</v>
      </c>
      <c r="B3" s="14" t="s">
        <v>4</v>
      </c>
      <c r="C3" s="15" t="s">
        <v>3</v>
      </c>
      <c r="D3" s="16" t="s">
        <v>6</v>
      </c>
      <c r="E3" s="17" t="s">
        <v>7</v>
      </c>
      <c r="F3" s="18" t="s">
        <v>8</v>
      </c>
      <c r="G3" s="19"/>
      <c r="H3" s="20"/>
      <c r="I3" s="21"/>
    </row>
    <row r="4" spans="1:9" s="10" customFormat="1" x14ac:dyDescent="0.25">
      <c r="A4" s="22"/>
      <c r="B4" s="23" t="s">
        <v>35</v>
      </c>
      <c r="C4" s="24"/>
      <c r="D4" s="25"/>
      <c r="E4" s="26"/>
      <c r="F4" s="27"/>
      <c r="G4" s="28"/>
      <c r="H4" s="29"/>
      <c r="I4" s="30"/>
    </row>
    <row r="5" spans="1:9" s="10" customFormat="1" ht="87" customHeight="1" x14ac:dyDescent="0.25">
      <c r="A5" s="31">
        <v>1</v>
      </c>
      <c r="B5" s="32" t="s">
        <v>51</v>
      </c>
      <c r="C5" s="33" t="s">
        <v>11</v>
      </c>
      <c r="D5" s="34">
        <v>3381.9999999999995</v>
      </c>
      <c r="E5" s="1"/>
      <c r="F5" s="36">
        <f>D5*E5</f>
        <v>0</v>
      </c>
      <c r="G5" s="37"/>
      <c r="H5" s="38"/>
      <c r="I5" s="39"/>
    </row>
    <row r="6" spans="1:9" s="10" customFormat="1" ht="52.5" customHeight="1" x14ac:dyDescent="0.25">
      <c r="A6" s="31">
        <f>A5+1</f>
        <v>2</v>
      </c>
      <c r="B6" s="40" t="s">
        <v>52</v>
      </c>
      <c r="C6" s="33" t="s">
        <v>11</v>
      </c>
      <c r="D6" s="34">
        <v>2827.0000000000005</v>
      </c>
      <c r="E6" s="1"/>
      <c r="F6" s="36">
        <f t="shared" ref="F6:F12" si="0">D6*E6</f>
        <v>0</v>
      </c>
      <c r="G6" s="37"/>
      <c r="H6" s="38"/>
      <c r="I6" s="39"/>
    </row>
    <row r="7" spans="1:9" s="10" customFormat="1" ht="69" customHeight="1" x14ac:dyDescent="0.25">
      <c r="A7" s="41">
        <f>A6+1</f>
        <v>3</v>
      </c>
      <c r="B7" s="40" t="s">
        <v>53</v>
      </c>
      <c r="C7" s="33" t="s">
        <v>11</v>
      </c>
      <c r="D7" s="42">
        <v>6209</v>
      </c>
      <c r="E7" s="1"/>
      <c r="F7" s="36">
        <f t="shared" si="0"/>
        <v>0</v>
      </c>
      <c r="G7" s="37"/>
      <c r="H7" s="38"/>
      <c r="I7" s="39"/>
    </row>
    <row r="8" spans="1:9" s="10" customFormat="1" ht="31.5" x14ac:dyDescent="0.25">
      <c r="A8" s="41">
        <f t="shared" ref="A8:A12" si="1">A7+1</f>
        <v>4</v>
      </c>
      <c r="B8" s="40" t="s">
        <v>28</v>
      </c>
      <c r="C8" s="33" t="s">
        <v>0</v>
      </c>
      <c r="D8" s="42">
        <f>(4+26)*4+(28+46)</f>
        <v>194</v>
      </c>
      <c r="E8" s="1"/>
      <c r="F8" s="36">
        <f t="shared" si="0"/>
        <v>0</v>
      </c>
      <c r="G8" s="37"/>
      <c r="H8" s="38"/>
      <c r="I8" s="39"/>
    </row>
    <row r="9" spans="1:9" ht="31.5" x14ac:dyDescent="0.25">
      <c r="A9" s="41">
        <f t="shared" si="1"/>
        <v>5</v>
      </c>
      <c r="B9" s="40" t="s">
        <v>29</v>
      </c>
      <c r="C9" s="33" t="s">
        <v>12</v>
      </c>
      <c r="D9" s="42">
        <f>14.35*4+88.83</f>
        <v>146.22999999999999</v>
      </c>
      <c r="E9" s="1"/>
      <c r="F9" s="36">
        <f t="shared" si="0"/>
        <v>0</v>
      </c>
      <c r="G9" s="37"/>
      <c r="H9" s="38"/>
      <c r="I9" s="39"/>
    </row>
    <row r="10" spans="1:9" ht="31.5" x14ac:dyDescent="0.25">
      <c r="A10" s="41">
        <f t="shared" si="1"/>
        <v>6</v>
      </c>
      <c r="B10" s="40" t="s">
        <v>30</v>
      </c>
      <c r="C10" s="33" t="s">
        <v>0</v>
      </c>
      <c r="D10" s="42">
        <f>1*4</f>
        <v>4</v>
      </c>
      <c r="E10" s="1"/>
      <c r="F10" s="36">
        <f t="shared" si="0"/>
        <v>0</v>
      </c>
      <c r="G10" s="37"/>
      <c r="H10" s="38"/>
      <c r="I10" s="39"/>
    </row>
    <row r="11" spans="1:9" ht="31.5" x14ac:dyDescent="0.25">
      <c r="A11" s="41">
        <f t="shared" si="1"/>
        <v>7</v>
      </c>
      <c r="B11" s="40" t="s">
        <v>31</v>
      </c>
      <c r="C11" s="33" t="s">
        <v>0</v>
      </c>
      <c r="D11" s="42">
        <f>(4+6+8)+8</f>
        <v>26</v>
      </c>
      <c r="E11" s="1"/>
      <c r="F11" s="36">
        <f t="shared" si="0"/>
        <v>0</v>
      </c>
      <c r="G11" s="43"/>
      <c r="H11" s="38"/>
      <c r="I11" s="39"/>
    </row>
    <row r="12" spans="1:9" ht="31.5" x14ac:dyDescent="0.25">
      <c r="A12" s="41">
        <f t="shared" si="1"/>
        <v>8</v>
      </c>
      <c r="B12" s="40" t="s">
        <v>32</v>
      </c>
      <c r="C12" s="33" t="s">
        <v>0</v>
      </c>
      <c r="D12" s="42">
        <f>(2+3+4)+4</f>
        <v>13</v>
      </c>
      <c r="E12" s="1"/>
      <c r="F12" s="36">
        <f t="shared" si="0"/>
        <v>0</v>
      </c>
      <c r="G12" s="37"/>
      <c r="H12" s="38"/>
      <c r="I12" s="39"/>
    </row>
    <row r="13" spans="1:9" s="51" customFormat="1" ht="31.5" x14ac:dyDescent="0.25">
      <c r="A13" s="44"/>
      <c r="B13" s="45" t="s">
        <v>45</v>
      </c>
      <c r="C13" s="46"/>
      <c r="D13" s="47"/>
      <c r="E13" s="2"/>
      <c r="F13" s="49"/>
      <c r="G13" s="50"/>
      <c r="H13" s="29"/>
      <c r="I13" s="30"/>
    </row>
    <row r="14" spans="1:9" ht="31.5" x14ac:dyDescent="0.25">
      <c r="A14" s="52"/>
      <c r="B14" s="53" t="s">
        <v>48</v>
      </c>
      <c r="C14" s="54" t="s">
        <v>9</v>
      </c>
      <c r="D14" s="55">
        <v>8.0000000000000002E-3</v>
      </c>
      <c r="E14" s="2"/>
      <c r="F14" s="49">
        <f>D14*E14</f>
        <v>0</v>
      </c>
      <c r="G14" s="50"/>
      <c r="H14" s="29"/>
      <c r="I14" s="30"/>
    </row>
    <row r="15" spans="1:9" s="56" customFormat="1" ht="31.5" x14ac:dyDescent="0.25">
      <c r="A15" s="52"/>
      <c r="B15" s="53" t="s">
        <v>47</v>
      </c>
      <c r="C15" s="54" t="s">
        <v>9</v>
      </c>
      <c r="D15" s="55">
        <v>0.65</v>
      </c>
      <c r="E15" s="2"/>
      <c r="F15" s="49">
        <f t="shared" ref="F15:F30" si="2">D15*E15</f>
        <v>0</v>
      </c>
      <c r="G15" s="50"/>
      <c r="H15" s="29"/>
      <c r="I15" s="30"/>
    </row>
    <row r="16" spans="1:9" s="56" customFormat="1" ht="31.5" x14ac:dyDescent="0.25">
      <c r="A16" s="52"/>
      <c r="B16" s="53" t="s">
        <v>50</v>
      </c>
      <c r="C16" s="54" t="s">
        <v>9</v>
      </c>
      <c r="D16" s="55">
        <v>0.2</v>
      </c>
      <c r="E16" s="2"/>
      <c r="F16" s="49">
        <f t="shared" si="2"/>
        <v>0</v>
      </c>
      <c r="G16" s="50"/>
      <c r="H16" s="29"/>
      <c r="I16" s="30"/>
    </row>
    <row r="17" spans="1:9" s="56" customFormat="1" ht="31.5" x14ac:dyDescent="0.25">
      <c r="A17" s="52"/>
      <c r="B17" s="53" t="s">
        <v>49</v>
      </c>
      <c r="C17" s="54" t="s">
        <v>9</v>
      </c>
      <c r="D17" s="55">
        <v>0.11</v>
      </c>
      <c r="E17" s="2"/>
      <c r="F17" s="49">
        <f t="shared" si="2"/>
        <v>0</v>
      </c>
      <c r="G17" s="50"/>
      <c r="H17" s="29"/>
      <c r="I17" s="30"/>
    </row>
    <row r="18" spans="1:9" s="56" customFormat="1" ht="15.75" x14ac:dyDescent="0.25">
      <c r="A18" s="52"/>
      <c r="B18" s="53" t="s">
        <v>22</v>
      </c>
      <c r="C18" s="54" t="s">
        <v>9</v>
      </c>
      <c r="D18" s="55">
        <v>0.18</v>
      </c>
      <c r="E18" s="2"/>
      <c r="F18" s="49">
        <f t="shared" si="2"/>
        <v>0</v>
      </c>
      <c r="G18" s="50"/>
      <c r="H18" s="29"/>
      <c r="I18" s="30"/>
    </row>
    <row r="19" spans="1:9" s="56" customFormat="1" ht="15.75" x14ac:dyDescent="0.25">
      <c r="A19" s="52"/>
      <c r="B19" s="53" t="s">
        <v>23</v>
      </c>
      <c r="C19" s="54" t="s">
        <v>9</v>
      </c>
      <c r="D19" s="55">
        <v>0.03</v>
      </c>
      <c r="E19" s="2"/>
      <c r="F19" s="49">
        <f t="shared" si="2"/>
        <v>0</v>
      </c>
      <c r="G19" s="57"/>
      <c r="H19" s="29"/>
      <c r="I19" s="30"/>
    </row>
    <row r="20" spans="1:9" s="56" customFormat="1" ht="15.75" x14ac:dyDescent="0.25">
      <c r="A20" s="52"/>
      <c r="B20" s="53" t="s">
        <v>24</v>
      </c>
      <c r="C20" s="54" t="s">
        <v>9</v>
      </c>
      <c r="D20" s="55">
        <v>0.51800000000000002</v>
      </c>
      <c r="E20" s="2"/>
      <c r="F20" s="49">
        <f t="shared" si="2"/>
        <v>0</v>
      </c>
      <c r="G20" s="57"/>
      <c r="H20" s="29"/>
      <c r="I20" s="30"/>
    </row>
    <row r="21" spans="1:9" s="56" customFormat="1" ht="34.5" customHeight="1" x14ac:dyDescent="0.25">
      <c r="A21" s="52"/>
      <c r="B21" s="53" t="s">
        <v>25</v>
      </c>
      <c r="C21" s="54" t="s">
        <v>9</v>
      </c>
      <c r="D21" s="55">
        <v>0.33</v>
      </c>
      <c r="E21" s="2"/>
      <c r="F21" s="49">
        <f t="shared" si="2"/>
        <v>0</v>
      </c>
      <c r="G21" s="50"/>
      <c r="H21" s="29"/>
      <c r="I21" s="30"/>
    </row>
    <row r="22" spans="1:9" s="56" customFormat="1" ht="36" customHeight="1" x14ac:dyDescent="0.25">
      <c r="A22" s="52"/>
      <c r="B22" s="53" t="s">
        <v>26</v>
      </c>
      <c r="C22" s="54" t="s">
        <v>9</v>
      </c>
      <c r="D22" s="55">
        <v>1.25</v>
      </c>
      <c r="E22" s="2"/>
      <c r="F22" s="49">
        <f t="shared" si="2"/>
        <v>0</v>
      </c>
      <c r="G22" s="50"/>
      <c r="H22" s="29"/>
      <c r="I22" s="30"/>
    </row>
    <row r="23" spans="1:9" s="56" customFormat="1" ht="36.75" customHeight="1" x14ac:dyDescent="0.25">
      <c r="A23" s="52"/>
      <c r="B23" s="53" t="s">
        <v>27</v>
      </c>
      <c r="C23" s="54" t="s">
        <v>9</v>
      </c>
      <c r="D23" s="55">
        <v>0.35</v>
      </c>
      <c r="E23" s="2"/>
      <c r="F23" s="49">
        <f t="shared" si="2"/>
        <v>0</v>
      </c>
      <c r="G23" s="57"/>
      <c r="H23" s="29"/>
      <c r="I23" s="30"/>
    </row>
    <row r="24" spans="1:9" s="56" customFormat="1" ht="19.5" customHeight="1" x14ac:dyDescent="0.25">
      <c r="A24" s="52"/>
      <c r="B24" s="53" t="s">
        <v>46</v>
      </c>
      <c r="C24" s="54" t="s">
        <v>9</v>
      </c>
      <c r="D24" s="55">
        <v>0</v>
      </c>
      <c r="E24" s="2"/>
      <c r="F24" s="49">
        <f t="shared" si="2"/>
        <v>0</v>
      </c>
      <c r="G24" s="57"/>
      <c r="H24" s="29"/>
      <c r="I24" s="30"/>
    </row>
    <row r="25" spans="1:9" s="56" customFormat="1" ht="19.5" customHeight="1" x14ac:dyDescent="0.25">
      <c r="A25" s="52"/>
      <c r="B25" s="58" t="s">
        <v>62</v>
      </c>
      <c r="C25" s="54" t="s">
        <v>9</v>
      </c>
      <c r="D25" s="55">
        <v>0.72399999999999998</v>
      </c>
      <c r="E25" s="2"/>
      <c r="F25" s="49">
        <f t="shared" si="2"/>
        <v>0</v>
      </c>
      <c r="G25" s="57"/>
      <c r="H25" s="29"/>
      <c r="I25" s="30"/>
    </row>
    <row r="26" spans="1:9" s="56" customFormat="1" ht="36" customHeight="1" x14ac:dyDescent="0.25">
      <c r="A26" s="52"/>
      <c r="B26" s="53" t="s">
        <v>57</v>
      </c>
      <c r="C26" s="54" t="s">
        <v>9</v>
      </c>
      <c r="D26" s="55">
        <v>1.675</v>
      </c>
      <c r="E26" s="2"/>
      <c r="F26" s="49">
        <f t="shared" si="2"/>
        <v>0</v>
      </c>
      <c r="G26" s="57"/>
      <c r="H26" s="29"/>
      <c r="I26" s="30"/>
    </row>
    <row r="27" spans="1:9" s="56" customFormat="1" ht="39" customHeight="1" x14ac:dyDescent="0.25">
      <c r="A27" s="52"/>
      <c r="B27" s="53" t="s">
        <v>58</v>
      </c>
      <c r="C27" s="54" t="s">
        <v>9</v>
      </c>
      <c r="D27" s="55">
        <v>0.184</v>
      </c>
      <c r="E27" s="2"/>
      <c r="F27" s="49">
        <f t="shared" si="2"/>
        <v>0</v>
      </c>
      <c r="G27" s="50"/>
      <c r="H27" s="29"/>
      <c r="I27" s="30"/>
    </row>
    <row r="28" spans="1:9" s="56" customFormat="1" ht="15.75" x14ac:dyDescent="0.25">
      <c r="A28" s="52"/>
      <c r="B28" s="53" t="s">
        <v>33</v>
      </c>
      <c r="C28" s="54" t="s">
        <v>0</v>
      </c>
      <c r="D28" s="59">
        <v>90</v>
      </c>
      <c r="E28" s="2"/>
      <c r="F28" s="49">
        <f t="shared" si="2"/>
        <v>0</v>
      </c>
      <c r="G28" s="50"/>
      <c r="H28" s="29"/>
      <c r="I28" s="30"/>
    </row>
    <row r="29" spans="1:9" s="56" customFormat="1" ht="15.75" x14ac:dyDescent="0.25">
      <c r="A29" s="52"/>
      <c r="B29" s="53" t="s">
        <v>34</v>
      </c>
      <c r="C29" s="54" t="s">
        <v>0</v>
      </c>
      <c r="D29" s="59">
        <v>104</v>
      </c>
      <c r="E29" s="2"/>
      <c r="F29" s="49">
        <f t="shared" si="2"/>
        <v>0</v>
      </c>
      <c r="G29" s="50"/>
      <c r="H29" s="29"/>
      <c r="I29" s="30"/>
    </row>
    <row r="30" spans="1:9" s="56" customFormat="1" ht="15.75" x14ac:dyDescent="0.25">
      <c r="A30" s="52"/>
      <c r="B30" s="53" t="s">
        <v>16</v>
      </c>
      <c r="C30" s="54" t="s">
        <v>11</v>
      </c>
      <c r="D30" s="60">
        <f>0.018*D7</f>
        <v>111.76199999999999</v>
      </c>
      <c r="E30" s="2"/>
      <c r="F30" s="49">
        <f t="shared" si="2"/>
        <v>0</v>
      </c>
      <c r="G30" s="50"/>
      <c r="H30" s="29"/>
      <c r="I30" s="30"/>
    </row>
    <row r="31" spans="1:9" s="56" customFormat="1" ht="31.5" x14ac:dyDescent="0.25">
      <c r="A31" s="41">
        <f>A12+1</f>
        <v>9</v>
      </c>
      <c r="B31" s="40" t="s">
        <v>18</v>
      </c>
      <c r="C31" s="61" t="s">
        <v>1</v>
      </c>
      <c r="D31" s="62">
        <f>(D7/1000)*30</f>
        <v>186.26999999999998</v>
      </c>
      <c r="E31" s="1"/>
      <c r="F31" s="36">
        <f t="shared" ref="F31:F36" si="3">D31*E31</f>
        <v>0</v>
      </c>
      <c r="G31" s="37"/>
      <c r="H31" s="38"/>
      <c r="I31" s="39"/>
    </row>
    <row r="32" spans="1:9" s="56" customFormat="1" ht="15.75" x14ac:dyDescent="0.25">
      <c r="A32" s="52"/>
      <c r="B32" s="53" t="s">
        <v>19</v>
      </c>
      <c r="C32" s="54" t="s">
        <v>11</v>
      </c>
      <c r="D32" s="60">
        <f>D31*0.15*2</f>
        <v>55.880999999999993</v>
      </c>
      <c r="E32" s="2"/>
      <c r="F32" s="49">
        <f t="shared" si="3"/>
        <v>0</v>
      </c>
      <c r="G32" s="50"/>
      <c r="H32" s="29"/>
      <c r="I32" s="30"/>
    </row>
    <row r="33" spans="1:9" s="56" customFormat="1" ht="63" x14ac:dyDescent="0.25">
      <c r="A33" s="41">
        <f>A31+1</f>
        <v>10</v>
      </c>
      <c r="B33" s="40" t="s">
        <v>64</v>
      </c>
      <c r="C33" s="61" t="s">
        <v>1</v>
      </c>
      <c r="D33" s="62">
        <f>D31</f>
        <v>186.26999999999998</v>
      </c>
      <c r="E33" s="1"/>
      <c r="F33" s="36">
        <f t="shared" si="3"/>
        <v>0</v>
      </c>
      <c r="G33" s="37"/>
      <c r="H33" s="38"/>
      <c r="I33" s="39"/>
    </row>
    <row r="34" spans="1:9" s="56" customFormat="1" ht="31.5" x14ac:dyDescent="0.25">
      <c r="A34" s="52"/>
      <c r="B34" s="53" t="s">
        <v>63</v>
      </c>
      <c r="C34" s="54" t="s">
        <v>11</v>
      </c>
      <c r="D34" s="60">
        <f>D33*2.41</f>
        <v>448.91069999999996</v>
      </c>
      <c r="E34" s="2"/>
      <c r="F34" s="49">
        <f t="shared" si="3"/>
        <v>0</v>
      </c>
      <c r="G34" s="63"/>
      <c r="H34" s="29"/>
      <c r="I34" s="30"/>
    </row>
    <row r="35" spans="1:9" s="56" customFormat="1" ht="47.25" x14ac:dyDescent="0.25">
      <c r="A35" s="41">
        <f>A33+1</f>
        <v>11</v>
      </c>
      <c r="B35" s="40" t="s">
        <v>21</v>
      </c>
      <c r="C35" s="61" t="s">
        <v>2</v>
      </c>
      <c r="D35" s="62">
        <v>7.1</v>
      </c>
      <c r="E35" s="1"/>
      <c r="F35" s="36">
        <f t="shared" si="3"/>
        <v>0</v>
      </c>
      <c r="G35" s="37"/>
      <c r="H35" s="38"/>
      <c r="I35" s="39"/>
    </row>
    <row r="36" spans="1:9" s="56" customFormat="1" ht="15.75" x14ac:dyDescent="0.25">
      <c r="A36" s="22"/>
      <c r="B36" s="64" t="s">
        <v>20</v>
      </c>
      <c r="C36" s="24" t="s">
        <v>10</v>
      </c>
      <c r="D36" s="65">
        <f>ROUND(D35*1800/50+0.5,0)</f>
        <v>256</v>
      </c>
      <c r="E36" s="3"/>
      <c r="F36" s="49">
        <f t="shared" si="3"/>
        <v>0</v>
      </c>
      <c r="G36" s="50"/>
      <c r="H36" s="29"/>
      <c r="I36" s="30"/>
    </row>
    <row r="37" spans="1:9" s="56" customFormat="1" ht="18.75" x14ac:dyDescent="0.25">
      <c r="A37" s="113" t="s">
        <v>43</v>
      </c>
      <c r="B37" s="114"/>
      <c r="C37" s="114"/>
      <c r="D37" s="114"/>
      <c r="E37" s="114"/>
      <c r="F37" s="115"/>
      <c r="G37" s="50"/>
      <c r="H37" s="29"/>
      <c r="I37" s="30"/>
    </row>
    <row r="38" spans="1:9" ht="52.5" customHeight="1" x14ac:dyDescent="0.25">
      <c r="A38" s="31">
        <f>A35+1</f>
        <v>12</v>
      </c>
      <c r="B38" s="32" t="s">
        <v>39</v>
      </c>
      <c r="C38" s="61" t="s">
        <v>17</v>
      </c>
      <c r="D38" s="66">
        <v>1</v>
      </c>
      <c r="E38" s="4"/>
      <c r="F38" s="36">
        <f t="shared" ref="F38:F48" si="4">D38*E38</f>
        <v>0</v>
      </c>
      <c r="G38" s="37"/>
      <c r="H38" s="38"/>
      <c r="I38" s="39"/>
    </row>
    <row r="39" spans="1:9" ht="78.75" x14ac:dyDescent="0.25">
      <c r="A39" s="67"/>
      <c r="B39" s="68" t="s">
        <v>40</v>
      </c>
      <c r="C39" s="69" t="s">
        <v>17</v>
      </c>
      <c r="D39" s="70">
        <v>1</v>
      </c>
      <c r="E39" s="5"/>
      <c r="F39" s="49">
        <f t="shared" si="4"/>
        <v>0</v>
      </c>
      <c r="G39" s="50"/>
      <c r="H39" s="29"/>
      <c r="I39" s="30"/>
    </row>
    <row r="40" spans="1:9" ht="31.5" x14ac:dyDescent="0.25">
      <c r="A40" s="31">
        <f>A38+1</f>
        <v>13</v>
      </c>
      <c r="B40" s="40" t="s">
        <v>37</v>
      </c>
      <c r="C40" s="33" t="s">
        <v>17</v>
      </c>
      <c r="D40" s="35">
        <v>1</v>
      </c>
      <c r="E40" s="1"/>
      <c r="F40" s="36">
        <f t="shared" si="4"/>
        <v>0</v>
      </c>
      <c r="G40" s="37"/>
      <c r="H40" s="38"/>
      <c r="I40" s="39"/>
    </row>
    <row r="41" spans="1:9" ht="15.75" x14ac:dyDescent="0.25">
      <c r="A41" s="44"/>
      <c r="B41" s="71" t="s">
        <v>38</v>
      </c>
      <c r="C41" s="46" t="s">
        <v>17</v>
      </c>
      <c r="D41" s="48">
        <v>1</v>
      </c>
      <c r="E41" s="2"/>
      <c r="F41" s="49">
        <f t="shared" si="4"/>
        <v>0</v>
      </c>
      <c r="G41" s="50"/>
      <c r="H41" s="29"/>
      <c r="I41" s="30"/>
    </row>
    <row r="42" spans="1:9" ht="31.5" x14ac:dyDescent="0.25">
      <c r="A42" s="72">
        <f>A40+1</f>
        <v>14</v>
      </c>
      <c r="B42" s="32" t="s">
        <v>54</v>
      </c>
      <c r="C42" s="61" t="s">
        <v>1</v>
      </c>
      <c r="D42" s="66">
        <f>50*5</f>
        <v>250</v>
      </c>
      <c r="E42" s="4"/>
      <c r="F42" s="36">
        <f t="shared" si="4"/>
        <v>0</v>
      </c>
      <c r="G42" s="37"/>
      <c r="H42" s="38"/>
      <c r="I42" s="39"/>
    </row>
    <row r="43" spans="1:9" ht="31.5" x14ac:dyDescent="0.25">
      <c r="A43" s="44"/>
      <c r="B43" s="71" t="s">
        <v>55</v>
      </c>
      <c r="C43" s="46" t="s">
        <v>17</v>
      </c>
      <c r="D43" s="48">
        <v>1</v>
      </c>
      <c r="E43" s="2"/>
      <c r="F43" s="49">
        <f t="shared" si="4"/>
        <v>0</v>
      </c>
      <c r="G43" s="28"/>
      <c r="H43" s="29"/>
      <c r="I43" s="30"/>
    </row>
    <row r="44" spans="1:9" ht="15.75" x14ac:dyDescent="0.25">
      <c r="A44" s="72">
        <f>A42+1</f>
        <v>15</v>
      </c>
      <c r="B44" s="40" t="s">
        <v>56</v>
      </c>
      <c r="C44" s="33" t="s">
        <v>17</v>
      </c>
      <c r="D44" s="35">
        <f>1*3</f>
        <v>3</v>
      </c>
      <c r="E44" s="1"/>
      <c r="F44" s="36">
        <f t="shared" si="4"/>
        <v>0</v>
      </c>
      <c r="G44" s="37"/>
      <c r="H44" s="38"/>
      <c r="I44" s="39"/>
    </row>
    <row r="45" spans="1:9" ht="15.75" x14ac:dyDescent="0.25">
      <c r="A45" s="73">
        <f t="shared" ref="A45:A47" si="5">A44+1</f>
        <v>16</v>
      </c>
      <c r="B45" s="71" t="s">
        <v>36</v>
      </c>
      <c r="C45" s="46" t="s">
        <v>0</v>
      </c>
      <c r="D45" s="48">
        <f>D44</f>
        <v>3</v>
      </c>
      <c r="E45" s="2"/>
      <c r="F45" s="49">
        <f t="shared" si="4"/>
        <v>0</v>
      </c>
      <c r="G45" s="50"/>
      <c r="H45" s="29"/>
      <c r="I45" s="30"/>
    </row>
    <row r="46" spans="1:9" ht="152.25" customHeight="1" x14ac:dyDescent="0.25">
      <c r="A46" s="74">
        <f t="shared" si="5"/>
        <v>17</v>
      </c>
      <c r="B46" s="68" t="s">
        <v>59</v>
      </c>
      <c r="C46" s="69" t="s">
        <v>17</v>
      </c>
      <c r="D46" s="70">
        <v>1</v>
      </c>
      <c r="E46" s="5"/>
      <c r="F46" s="49">
        <f t="shared" si="4"/>
        <v>0</v>
      </c>
      <c r="G46" s="50"/>
      <c r="H46" s="75">
        <f>SUM(F38:F45)+SUM(F5:F36)</f>
        <v>0</v>
      </c>
      <c r="I46" s="76">
        <f>H46*0.02</f>
        <v>0</v>
      </c>
    </row>
    <row r="47" spans="1:9" ht="66.75" customHeight="1" x14ac:dyDescent="0.25">
      <c r="A47" s="77">
        <f t="shared" si="5"/>
        <v>18</v>
      </c>
      <c r="B47" s="78" t="s">
        <v>65</v>
      </c>
      <c r="C47" s="79" t="s">
        <v>17</v>
      </c>
      <c r="D47" s="80">
        <v>1</v>
      </c>
      <c r="E47" s="6"/>
      <c r="F47" s="36">
        <f t="shared" si="4"/>
        <v>0</v>
      </c>
      <c r="G47" s="37"/>
      <c r="H47" s="81"/>
      <c r="I47" s="82">
        <f>H46*0.1</f>
        <v>0</v>
      </c>
    </row>
    <row r="48" spans="1:9" ht="21.75" customHeight="1" thickBot="1" x14ac:dyDescent="0.3">
      <c r="A48" s="83"/>
      <c r="B48" s="84" t="s">
        <v>61</v>
      </c>
      <c r="C48" s="85" t="s">
        <v>60</v>
      </c>
      <c r="D48" s="86">
        <v>1</v>
      </c>
      <c r="E48" s="7"/>
      <c r="F48" s="49">
        <f t="shared" si="4"/>
        <v>0</v>
      </c>
      <c r="G48" s="37"/>
      <c r="H48" s="81"/>
      <c r="I48" s="82"/>
    </row>
    <row r="49" spans="1:24" ht="15.75" x14ac:dyDescent="0.25">
      <c r="A49" s="116" t="s">
        <v>41</v>
      </c>
      <c r="B49" s="117"/>
      <c r="C49" s="87"/>
      <c r="D49" s="88"/>
      <c r="E49" s="89"/>
      <c r="F49" s="90">
        <f>F5+F6+F7+F8+F9+F10+F11+F12+F31+F33+F35+F38+F40+F42+F44+F47</f>
        <v>0</v>
      </c>
      <c r="G49" s="50"/>
      <c r="H49" s="29"/>
      <c r="I49" s="30"/>
    </row>
    <row r="50" spans="1:24" ht="16.5" thickBot="1" x14ac:dyDescent="0.3">
      <c r="A50" s="118" t="s">
        <v>42</v>
      </c>
      <c r="B50" s="119"/>
      <c r="C50" s="91"/>
      <c r="D50" s="92"/>
      <c r="E50" s="93"/>
      <c r="F50" s="94">
        <f>SUM(F13:F30)+F32+F34+F36+F41+F43+F45+F46+F39+F48</f>
        <v>0</v>
      </c>
      <c r="G50" s="50"/>
      <c r="H50" s="95">
        <f>H46+F46+F47</f>
        <v>0</v>
      </c>
      <c r="I50" s="30"/>
    </row>
    <row r="51" spans="1:24" x14ac:dyDescent="0.25">
      <c r="A51" s="96"/>
      <c r="B51" s="97" t="s">
        <v>15</v>
      </c>
      <c r="C51" s="98"/>
      <c r="D51" s="99"/>
      <c r="E51" s="100"/>
      <c r="F51" s="101">
        <f>SUM(F49:F50)</f>
        <v>0</v>
      </c>
      <c r="G51" s="28"/>
      <c r="H51" s="29"/>
      <c r="I51" s="30"/>
    </row>
    <row r="52" spans="1:24" x14ac:dyDescent="0.25">
      <c r="A52" s="22"/>
      <c r="B52" s="102" t="s">
        <v>14</v>
      </c>
      <c r="C52" s="24"/>
      <c r="D52" s="25"/>
      <c r="E52" s="26"/>
      <c r="F52" s="27">
        <f>F51-F51/1.18</f>
        <v>0</v>
      </c>
      <c r="G52" s="50"/>
      <c r="H52" s="29"/>
      <c r="I52" s="30"/>
    </row>
    <row r="53" spans="1:24" ht="15.75" thickBot="1" x14ac:dyDescent="0.3">
      <c r="A53" s="103"/>
      <c r="B53" s="104" t="s">
        <v>13</v>
      </c>
      <c r="C53" s="105"/>
      <c r="D53" s="106"/>
      <c r="E53" s="107"/>
      <c r="F53" s="108">
        <f>F51</f>
        <v>0</v>
      </c>
      <c r="G53" s="50"/>
      <c r="H53" s="29"/>
      <c r="I53" s="30"/>
    </row>
    <row r="57" spans="1:24" s="109" customFormat="1" x14ac:dyDescent="0.25"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idden="1" x14ac:dyDescent="0.25"/>
    <row r="59" spans="1:24" hidden="1" x14ac:dyDescent="0.25"/>
    <row r="60" spans="1:24" hidden="1" x14ac:dyDescent="0.25"/>
    <row r="61" spans="1:24" s="112" customFormat="1" x14ac:dyDescent="0.2">
      <c r="A61" s="8"/>
      <c r="B61" s="11"/>
      <c r="C61" s="8"/>
      <c r="D61" s="110"/>
      <c r="E61" s="111"/>
      <c r="F61" s="111"/>
      <c r="G61" s="111"/>
      <c r="H61" s="111"/>
      <c r="I61" s="111"/>
    </row>
    <row r="62" spans="1:24" s="112" customFormat="1" x14ac:dyDescent="0.2">
      <c r="A62" s="8"/>
      <c r="B62" s="11"/>
      <c r="C62" s="8"/>
      <c r="D62" s="110"/>
      <c r="E62" s="111"/>
      <c r="F62" s="111"/>
      <c r="G62" s="111"/>
      <c r="H62" s="111"/>
      <c r="I62" s="111"/>
    </row>
    <row r="63" spans="1:24" s="112" customFormat="1" x14ac:dyDescent="0.2">
      <c r="A63" s="8"/>
      <c r="B63" s="11"/>
      <c r="C63" s="8"/>
      <c r="D63" s="110"/>
      <c r="E63" s="111"/>
      <c r="F63" s="111"/>
      <c r="G63" s="111"/>
      <c r="H63" s="111"/>
      <c r="I63" s="111"/>
    </row>
    <row r="64" spans="1:24" s="112" customFormat="1" x14ac:dyDescent="0.2">
      <c r="A64" s="8"/>
      <c r="B64" s="11"/>
      <c r="C64" s="8"/>
      <c r="D64" s="110">
        <f>SUM(D5:D36)+SUM(D38:D47)</f>
        <v>14516.632700000002</v>
      </c>
      <c r="E64" s="111"/>
      <c r="F64" s="111"/>
      <c r="G64" s="111"/>
      <c r="H64" s="111"/>
      <c r="I64" s="111"/>
    </row>
    <row r="65" spans="4:9" x14ac:dyDescent="0.25">
      <c r="D65" s="110">
        <v>14516.632700000002</v>
      </c>
      <c r="G65" s="111"/>
      <c r="H65" s="111"/>
      <c r="I65" s="111"/>
    </row>
    <row r="66" spans="4:9" x14ac:dyDescent="0.25">
      <c r="D66" s="110">
        <f>D64-D65</f>
        <v>0</v>
      </c>
    </row>
  </sheetData>
  <sheetProtection password="CC5F" sheet="1" objects="1" scenarios="1"/>
  <mergeCells count="5">
    <mergeCell ref="A37:F37"/>
    <mergeCell ref="A49:B49"/>
    <mergeCell ref="A50:B50"/>
    <mergeCell ref="A1:F1"/>
    <mergeCell ref="G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 3456тех в кг бумаж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tanya</cp:lastModifiedBy>
  <cp:lastPrinted>2018-01-19T08:08:06Z</cp:lastPrinted>
  <dcterms:created xsi:type="dcterms:W3CDTF">2015-03-11T08:19:11Z</dcterms:created>
  <dcterms:modified xsi:type="dcterms:W3CDTF">2018-09-07T17:12:56Z</dcterms:modified>
</cp:coreProperties>
</file>